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orisnik\Downloads\SS\"/>
    </mc:Choice>
  </mc:AlternateContent>
  <xr:revisionPtr revIDLastSave="0" documentId="11_759B117D1AB7718CA1DA8EDC6D7DF8F514295609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Dashboard" sheetId="1" r:id="rId1"/>
    <sheet name="Start Here" sheetId="2" r:id="rId2"/>
    <sheet name="Inputs" sheetId="3" r:id="rId3"/>
    <sheet name="Vehicles" sheetId="4" r:id="rId4"/>
    <sheet name="Load Profile" sheetId="5" r:id="rId5"/>
    <sheet name="Sourc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7" i="5" l="1"/>
  <c r="F97" i="5"/>
  <c r="C97" i="5"/>
  <c r="I96" i="5"/>
  <c r="F96" i="5"/>
  <c r="C96" i="5"/>
  <c r="I95" i="5"/>
  <c r="F95" i="5"/>
  <c r="C95" i="5"/>
  <c r="I94" i="5"/>
  <c r="F94" i="5"/>
  <c r="C94" i="5"/>
  <c r="I93" i="5"/>
  <c r="F93" i="5"/>
  <c r="C93" i="5"/>
  <c r="I92" i="5"/>
  <c r="F92" i="5"/>
  <c r="C92" i="5"/>
  <c r="I91" i="5"/>
  <c r="F91" i="5"/>
  <c r="C91" i="5"/>
  <c r="I90" i="5"/>
  <c r="F90" i="5"/>
  <c r="C90" i="5"/>
  <c r="I89" i="5"/>
  <c r="F89" i="5"/>
  <c r="C89" i="5"/>
  <c r="I88" i="5"/>
  <c r="F88" i="5"/>
  <c r="C88" i="5"/>
  <c r="I87" i="5"/>
  <c r="F87" i="5"/>
  <c r="C87" i="5"/>
  <c r="I86" i="5"/>
  <c r="F86" i="5"/>
  <c r="C86" i="5"/>
  <c r="I85" i="5"/>
  <c r="F85" i="5"/>
  <c r="C85" i="5"/>
  <c r="I84" i="5"/>
  <c r="F84" i="5"/>
  <c r="C84" i="5"/>
  <c r="I83" i="5"/>
  <c r="F83" i="5"/>
  <c r="C83" i="5"/>
  <c r="I82" i="5"/>
  <c r="F82" i="5"/>
  <c r="C82" i="5"/>
  <c r="I81" i="5"/>
  <c r="F81" i="5"/>
  <c r="C81" i="5"/>
  <c r="I80" i="5"/>
  <c r="F80" i="5"/>
  <c r="C80" i="5"/>
  <c r="I79" i="5"/>
  <c r="F79" i="5"/>
  <c r="C79" i="5"/>
  <c r="I78" i="5"/>
  <c r="F78" i="5"/>
  <c r="C78" i="5"/>
  <c r="I77" i="5"/>
  <c r="F77" i="5"/>
  <c r="C77" i="5"/>
  <c r="I76" i="5"/>
  <c r="F76" i="5"/>
  <c r="C76" i="5"/>
  <c r="I75" i="5"/>
  <c r="F75" i="5"/>
  <c r="C75" i="5"/>
  <c r="I74" i="5"/>
  <c r="F74" i="5"/>
  <c r="C74" i="5"/>
  <c r="I73" i="5"/>
  <c r="F73" i="5"/>
  <c r="C73" i="5"/>
  <c r="I72" i="5"/>
  <c r="F72" i="5"/>
  <c r="C72" i="5"/>
  <c r="I71" i="5"/>
  <c r="F71" i="5"/>
  <c r="C71" i="5"/>
  <c r="I70" i="5"/>
  <c r="F70" i="5"/>
  <c r="C70" i="5"/>
  <c r="I69" i="5"/>
  <c r="F69" i="5"/>
  <c r="C69" i="5"/>
  <c r="I68" i="5"/>
  <c r="F68" i="5"/>
  <c r="C68" i="5"/>
  <c r="I67" i="5"/>
  <c r="F67" i="5"/>
  <c r="C67" i="5"/>
  <c r="I66" i="5"/>
  <c r="F66" i="5"/>
  <c r="C66" i="5"/>
  <c r="I65" i="5"/>
  <c r="F65" i="5"/>
  <c r="C65" i="5"/>
  <c r="I64" i="5"/>
  <c r="F64" i="5"/>
  <c r="C64" i="5"/>
  <c r="I63" i="5"/>
  <c r="F63" i="5"/>
  <c r="C63" i="5"/>
  <c r="I62" i="5"/>
  <c r="F62" i="5"/>
  <c r="C62" i="5"/>
  <c r="I61" i="5"/>
  <c r="F61" i="5"/>
  <c r="C61" i="5"/>
  <c r="I60" i="5"/>
  <c r="F60" i="5"/>
  <c r="C60" i="5"/>
  <c r="I59" i="5"/>
  <c r="F59" i="5"/>
  <c r="C59" i="5"/>
  <c r="I58" i="5"/>
  <c r="F58" i="5"/>
  <c r="C58" i="5"/>
  <c r="I57" i="5"/>
  <c r="F57" i="5"/>
  <c r="C57" i="5"/>
  <c r="I56" i="5"/>
  <c r="F56" i="5"/>
  <c r="C56" i="5"/>
  <c r="I55" i="5"/>
  <c r="F55" i="5"/>
  <c r="C55" i="5"/>
  <c r="I54" i="5"/>
  <c r="F54" i="5"/>
  <c r="C54" i="5"/>
  <c r="I53" i="5"/>
  <c r="F53" i="5"/>
  <c r="C53" i="5"/>
  <c r="I52" i="5"/>
  <c r="F52" i="5"/>
  <c r="C52" i="5"/>
  <c r="I51" i="5"/>
  <c r="F51" i="5"/>
  <c r="C51" i="5"/>
  <c r="I50" i="5"/>
  <c r="F50" i="5"/>
  <c r="C50" i="5"/>
  <c r="I49" i="5"/>
  <c r="F49" i="5"/>
  <c r="C49" i="5"/>
  <c r="I48" i="5"/>
  <c r="F48" i="5"/>
  <c r="C48" i="5"/>
  <c r="I47" i="5"/>
  <c r="F47" i="5"/>
  <c r="C47" i="5"/>
  <c r="I46" i="5"/>
  <c r="F46" i="5"/>
  <c r="C46" i="5"/>
  <c r="I45" i="5"/>
  <c r="F45" i="5"/>
  <c r="C45" i="5"/>
  <c r="I44" i="5"/>
  <c r="F44" i="5"/>
  <c r="C44" i="5"/>
  <c r="I43" i="5"/>
  <c r="F43" i="5"/>
  <c r="C43" i="5"/>
  <c r="I42" i="5"/>
  <c r="F42" i="5"/>
  <c r="C42" i="5"/>
  <c r="I41" i="5"/>
  <c r="F41" i="5"/>
  <c r="C41" i="5"/>
  <c r="I40" i="5"/>
  <c r="F40" i="5"/>
  <c r="C40" i="5"/>
  <c r="I39" i="5"/>
  <c r="F39" i="5"/>
  <c r="C39" i="5"/>
  <c r="I38" i="5"/>
  <c r="F38" i="5"/>
  <c r="C38" i="5"/>
  <c r="I37" i="5"/>
  <c r="F37" i="5"/>
  <c r="C37" i="5"/>
  <c r="I36" i="5"/>
  <c r="F36" i="5"/>
  <c r="C36" i="5"/>
  <c r="I35" i="5"/>
  <c r="F35" i="5"/>
  <c r="C35" i="5"/>
  <c r="I34" i="5"/>
  <c r="F34" i="5"/>
  <c r="C34" i="5"/>
  <c r="I33" i="5"/>
  <c r="F33" i="5"/>
  <c r="C33" i="5"/>
  <c r="I32" i="5"/>
  <c r="F32" i="5"/>
  <c r="C32" i="5"/>
  <c r="I31" i="5"/>
  <c r="F31" i="5"/>
  <c r="C31" i="5"/>
  <c r="I30" i="5"/>
  <c r="F30" i="5"/>
  <c r="C30" i="5"/>
  <c r="I29" i="5"/>
  <c r="F29" i="5"/>
  <c r="C29" i="5"/>
  <c r="I28" i="5"/>
  <c r="F28" i="5"/>
  <c r="C28" i="5"/>
  <c r="I27" i="5"/>
  <c r="F27" i="5"/>
  <c r="C27" i="5"/>
  <c r="I26" i="5"/>
  <c r="F26" i="5"/>
  <c r="C26" i="5"/>
  <c r="I25" i="5"/>
  <c r="F25" i="5"/>
  <c r="C25" i="5"/>
  <c r="I24" i="5"/>
  <c r="F24" i="5"/>
  <c r="C24" i="5"/>
  <c r="I23" i="5"/>
  <c r="F23" i="5"/>
  <c r="C23" i="5"/>
  <c r="I22" i="5"/>
  <c r="F22" i="5"/>
  <c r="C22" i="5"/>
  <c r="I21" i="5"/>
  <c r="F21" i="5"/>
  <c r="C21" i="5"/>
  <c r="I20" i="5"/>
  <c r="F20" i="5"/>
  <c r="C20" i="5"/>
  <c r="I19" i="5"/>
  <c r="F19" i="5"/>
  <c r="C19" i="5"/>
  <c r="I18" i="5"/>
  <c r="F18" i="5"/>
  <c r="C18" i="5"/>
  <c r="I17" i="5"/>
  <c r="F17" i="5"/>
  <c r="C17" i="5"/>
  <c r="I16" i="5"/>
  <c r="F16" i="5"/>
  <c r="C16" i="5"/>
  <c r="I15" i="5"/>
  <c r="F15" i="5"/>
  <c r="C15" i="5"/>
  <c r="I14" i="5"/>
  <c r="F14" i="5"/>
  <c r="C14" i="5"/>
  <c r="I13" i="5"/>
  <c r="F13" i="5"/>
  <c r="C13" i="5"/>
  <c r="I12" i="5"/>
  <c r="F12" i="5"/>
  <c r="C12" i="5"/>
  <c r="I11" i="5"/>
  <c r="F11" i="5"/>
  <c r="C11" i="5"/>
  <c r="I10" i="5"/>
  <c r="F10" i="5"/>
  <c r="C10" i="5"/>
  <c r="I9" i="5"/>
  <c r="F9" i="5"/>
  <c r="C9" i="5"/>
  <c r="I8" i="5"/>
  <c r="F8" i="5"/>
  <c r="C8" i="5"/>
  <c r="I7" i="5"/>
  <c r="F7" i="5"/>
  <c r="C7" i="5"/>
  <c r="I6" i="5"/>
  <c r="F6" i="5"/>
  <c r="C6" i="5"/>
  <c r="I5" i="5"/>
  <c r="F5" i="5"/>
  <c r="C5" i="5"/>
  <c r="I4" i="5"/>
  <c r="F4" i="5"/>
  <c r="C4" i="5"/>
  <c r="I3" i="5"/>
  <c r="F3" i="5"/>
  <c r="C3" i="5"/>
  <c r="I2" i="5"/>
  <c r="F2" i="5"/>
  <c r="C2" i="5"/>
  <c r="O51" i="4"/>
  <c r="J51" i="4"/>
  <c r="K51" i="4" s="1"/>
  <c r="I51" i="4"/>
  <c r="H51" i="4"/>
  <c r="G51" i="4"/>
  <c r="O50" i="4"/>
  <c r="N50" i="4"/>
  <c r="M50" i="4"/>
  <c r="L50" i="4"/>
  <c r="J50" i="4"/>
  <c r="I50" i="4"/>
  <c r="G50" i="4"/>
  <c r="H50" i="4" s="1"/>
  <c r="K50" i="4" s="1"/>
  <c r="O49" i="4"/>
  <c r="J49" i="4"/>
  <c r="I49" i="4"/>
  <c r="H49" i="4"/>
  <c r="M49" i="4" s="1"/>
  <c r="G49" i="4"/>
  <c r="O48" i="4"/>
  <c r="M48" i="4"/>
  <c r="J48" i="4"/>
  <c r="K48" i="4" s="1"/>
  <c r="I48" i="4"/>
  <c r="P48" i="4" s="1"/>
  <c r="G48" i="4"/>
  <c r="H48" i="4" s="1"/>
  <c r="O47" i="4"/>
  <c r="Q47" i="4" s="1"/>
  <c r="J47" i="4"/>
  <c r="I47" i="4"/>
  <c r="H47" i="4"/>
  <c r="K47" i="4" s="1"/>
  <c r="N47" i="4" s="1"/>
  <c r="G47" i="4"/>
  <c r="Q46" i="4"/>
  <c r="P46" i="4"/>
  <c r="O46" i="4"/>
  <c r="K46" i="4"/>
  <c r="N46" i="4" s="1"/>
  <c r="J46" i="4"/>
  <c r="I46" i="4"/>
  <c r="H46" i="4"/>
  <c r="G46" i="4"/>
  <c r="O45" i="4"/>
  <c r="J45" i="4"/>
  <c r="I45" i="4"/>
  <c r="P45" i="4" s="1"/>
  <c r="G45" i="4"/>
  <c r="H45" i="4" s="1"/>
  <c r="M45" i="4" s="1"/>
  <c r="O44" i="4"/>
  <c r="J44" i="4"/>
  <c r="I44" i="4"/>
  <c r="H44" i="4"/>
  <c r="G44" i="4"/>
  <c r="O43" i="4"/>
  <c r="K43" i="4"/>
  <c r="J43" i="4"/>
  <c r="I43" i="4"/>
  <c r="P43" i="4" s="1"/>
  <c r="H43" i="4"/>
  <c r="G43" i="4"/>
  <c r="O42" i="4"/>
  <c r="J42" i="4"/>
  <c r="I42" i="4"/>
  <c r="G42" i="4"/>
  <c r="H42" i="4" s="1"/>
  <c r="O41" i="4"/>
  <c r="J41" i="4"/>
  <c r="I41" i="4"/>
  <c r="H41" i="4"/>
  <c r="G41" i="4"/>
  <c r="O40" i="4"/>
  <c r="P40" i="4" s="1"/>
  <c r="M40" i="4"/>
  <c r="J40" i="4"/>
  <c r="K40" i="4" s="1"/>
  <c r="I40" i="4"/>
  <c r="H40" i="4"/>
  <c r="G40" i="4"/>
  <c r="O39" i="4"/>
  <c r="P39" i="4" s="1"/>
  <c r="M39" i="4"/>
  <c r="J39" i="4"/>
  <c r="I39" i="4"/>
  <c r="L39" i="4" s="1"/>
  <c r="H39" i="4"/>
  <c r="K39" i="4" s="1"/>
  <c r="N39" i="4" s="1"/>
  <c r="G39" i="4"/>
  <c r="O38" i="4"/>
  <c r="J38" i="4"/>
  <c r="I38" i="4"/>
  <c r="G38" i="4"/>
  <c r="H38" i="4" s="1"/>
  <c r="O37" i="4"/>
  <c r="N37" i="4"/>
  <c r="M37" i="4"/>
  <c r="L37" i="4"/>
  <c r="K37" i="4"/>
  <c r="J37" i="4"/>
  <c r="I37" i="4"/>
  <c r="G37" i="4"/>
  <c r="H37" i="4" s="1"/>
  <c r="O36" i="4"/>
  <c r="J36" i="4"/>
  <c r="I36" i="4"/>
  <c r="G36" i="4"/>
  <c r="H36" i="4" s="1"/>
  <c r="O35" i="4"/>
  <c r="J35" i="4"/>
  <c r="K35" i="4" s="1"/>
  <c r="I35" i="4"/>
  <c r="P35" i="4" s="1"/>
  <c r="H35" i="4"/>
  <c r="G35" i="4"/>
  <c r="P34" i="4"/>
  <c r="O34" i="4"/>
  <c r="J34" i="4"/>
  <c r="I34" i="4"/>
  <c r="G34" i="4"/>
  <c r="H34" i="4" s="1"/>
  <c r="K34" i="4" s="1"/>
  <c r="N34" i="4" s="1"/>
  <c r="P33" i="4"/>
  <c r="O33" i="4"/>
  <c r="J33" i="4"/>
  <c r="I33" i="4"/>
  <c r="G33" i="4"/>
  <c r="H33" i="4" s="1"/>
  <c r="O32" i="4"/>
  <c r="J32" i="4"/>
  <c r="I32" i="4"/>
  <c r="P32" i="4" s="1"/>
  <c r="G32" i="4"/>
  <c r="H32" i="4" s="1"/>
  <c r="M32" i="4" s="1"/>
  <c r="P31" i="4"/>
  <c r="O31" i="4"/>
  <c r="J31" i="4"/>
  <c r="I31" i="4"/>
  <c r="G31" i="4"/>
  <c r="H31" i="4" s="1"/>
  <c r="O30" i="4"/>
  <c r="J30" i="4"/>
  <c r="I30" i="4"/>
  <c r="P30" i="4" s="1"/>
  <c r="H30" i="4"/>
  <c r="G30" i="4"/>
  <c r="O29" i="4"/>
  <c r="P29" i="4" s="1"/>
  <c r="M29" i="4"/>
  <c r="J29" i="4"/>
  <c r="K29" i="4" s="1"/>
  <c r="I29" i="4"/>
  <c r="G29" i="4"/>
  <c r="H29" i="4" s="1"/>
  <c r="O28" i="4"/>
  <c r="J28" i="4"/>
  <c r="I28" i="4"/>
  <c r="G28" i="4"/>
  <c r="H28" i="4" s="1"/>
  <c r="P27" i="4"/>
  <c r="O27" i="4"/>
  <c r="M27" i="4"/>
  <c r="J27" i="4"/>
  <c r="K27" i="4" s="1"/>
  <c r="I27" i="4"/>
  <c r="L27" i="4" s="1"/>
  <c r="H27" i="4"/>
  <c r="G27" i="4"/>
  <c r="O26" i="4"/>
  <c r="J26" i="4"/>
  <c r="I26" i="4"/>
  <c r="G26" i="4"/>
  <c r="H26" i="4" s="1"/>
  <c r="O25" i="4"/>
  <c r="P25" i="4" s="1"/>
  <c r="J25" i="4"/>
  <c r="I25" i="4"/>
  <c r="H25" i="4"/>
  <c r="G25" i="4"/>
  <c r="P24" i="4"/>
  <c r="O24" i="4"/>
  <c r="N24" i="4"/>
  <c r="M24" i="4"/>
  <c r="L24" i="4"/>
  <c r="K24" i="4"/>
  <c r="Q24" i="4" s="1"/>
  <c r="J24" i="4"/>
  <c r="I24" i="4"/>
  <c r="H24" i="4"/>
  <c r="G24" i="4"/>
  <c r="O23" i="4"/>
  <c r="J23" i="4"/>
  <c r="I23" i="4"/>
  <c r="G23" i="4"/>
  <c r="H23" i="4" s="1"/>
  <c r="P22" i="4"/>
  <c r="O22" i="4"/>
  <c r="J22" i="4"/>
  <c r="I22" i="4"/>
  <c r="G22" i="4"/>
  <c r="H22" i="4" s="1"/>
  <c r="O21" i="4"/>
  <c r="J21" i="4"/>
  <c r="I21" i="4"/>
  <c r="G21" i="4"/>
  <c r="H21" i="4" s="1"/>
  <c r="M21" i="4" s="1"/>
  <c r="P20" i="4"/>
  <c r="O20" i="4"/>
  <c r="J20" i="4"/>
  <c r="I20" i="4"/>
  <c r="G20" i="4"/>
  <c r="H20" i="4" s="1"/>
  <c r="O19" i="4"/>
  <c r="J19" i="4"/>
  <c r="I19" i="4"/>
  <c r="P19" i="4" s="1"/>
  <c r="H19" i="4"/>
  <c r="M19" i="4" s="1"/>
  <c r="G19" i="4"/>
  <c r="P18" i="4"/>
  <c r="O18" i="4"/>
  <c r="Q18" i="4" s="1"/>
  <c r="N18" i="4"/>
  <c r="M18" i="4"/>
  <c r="L18" i="4"/>
  <c r="J18" i="4"/>
  <c r="I18" i="4"/>
  <c r="G18" i="4"/>
  <c r="H18" i="4" s="1"/>
  <c r="K18" i="4" s="1"/>
  <c r="O17" i="4"/>
  <c r="J17" i="4"/>
  <c r="I17" i="4"/>
  <c r="P17" i="4" s="1"/>
  <c r="G17" i="4"/>
  <c r="H17" i="4" s="1"/>
  <c r="O16" i="4"/>
  <c r="M16" i="4"/>
  <c r="K16" i="4"/>
  <c r="J16" i="4"/>
  <c r="I16" i="4"/>
  <c r="P16" i="4" s="1"/>
  <c r="H16" i="4"/>
  <c r="G16" i="4"/>
  <c r="O15" i="4"/>
  <c r="Q15" i="4" s="1"/>
  <c r="J15" i="4"/>
  <c r="I15" i="4"/>
  <c r="H15" i="4"/>
  <c r="K15" i="4" s="1"/>
  <c r="L15" i="4" s="1"/>
  <c r="G15" i="4"/>
  <c r="O14" i="4"/>
  <c r="J14" i="4"/>
  <c r="I14" i="4"/>
  <c r="H14" i="4"/>
  <c r="M14" i="4" s="1"/>
  <c r="G14" i="4"/>
  <c r="O13" i="4"/>
  <c r="P13" i="4" s="1"/>
  <c r="J13" i="4"/>
  <c r="K13" i="4" s="1"/>
  <c r="I13" i="4"/>
  <c r="G13" i="4"/>
  <c r="H13" i="4" s="1"/>
  <c r="M13" i="4" s="1"/>
  <c r="P12" i="4"/>
  <c r="O12" i="4"/>
  <c r="J12" i="4"/>
  <c r="I12" i="4"/>
  <c r="H12" i="4"/>
  <c r="G12" i="4"/>
  <c r="O11" i="4"/>
  <c r="M11" i="4"/>
  <c r="K11" i="4"/>
  <c r="N11" i="4" s="1"/>
  <c r="J11" i="4"/>
  <c r="I11" i="4"/>
  <c r="P11" i="4" s="1"/>
  <c r="H11" i="4"/>
  <c r="G11" i="4"/>
  <c r="O10" i="4"/>
  <c r="J10" i="4"/>
  <c r="I10" i="4"/>
  <c r="G10" i="4"/>
  <c r="H10" i="4" s="1"/>
  <c r="O9" i="4"/>
  <c r="E3" i="5" s="1"/>
  <c r="H3" i="5" s="1"/>
  <c r="J9" i="4"/>
  <c r="I9" i="4"/>
  <c r="G9" i="4"/>
  <c r="H9" i="4" s="1"/>
  <c r="P8" i="4"/>
  <c r="O8" i="4"/>
  <c r="M8" i="4"/>
  <c r="K8" i="4"/>
  <c r="Q8" i="4" s="1"/>
  <c r="J8" i="4"/>
  <c r="I8" i="4"/>
  <c r="H8" i="4"/>
  <c r="G8" i="4"/>
  <c r="P7" i="4"/>
  <c r="O7" i="4"/>
  <c r="J7" i="4"/>
  <c r="I7" i="4"/>
  <c r="G7" i="4"/>
  <c r="H7" i="4" s="1"/>
  <c r="O6" i="4"/>
  <c r="J6" i="4"/>
  <c r="I6" i="4"/>
  <c r="H6" i="4"/>
  <c r="M6" i="4" s="1"/>
  <c r="G6" i="4"/>
  <c r="O5" i="4"/>
  <c r="J5" i="4"/>
  <c r="I5" i="4"/>
  <c r="G5" i="4"/>
  <c r="H5" i="4" s="1"/>
  <c r="M5" i="4" s="1"/>
  <c r="O4" i="4"/>
  <c r="P4" i="4" s="1"/>
  <c r="J4" i="4"/>
  <c r="I4" i="4"/>
  <c r="G4" i="4"/>
  <c r="H4" i="4" s="1"/>
  <c r="O3" i="4"/>
  <c r="J3" i="4"/>
  <c r="I3" i="4"/>
  <c r="P3" i="4" s="1"/>
  <c r="G3" i="4"/>
  <c r="H3" i="4" s="1"/>
  <c r="P2" i="4"/>
  <c r="O2" i="4"/>
  <c r="N2" i="4"/>
  <c r="M2" i="4"/>
  <c r="L2" i="4"/>
  <c r="J2" i="4"/>
  <c r="I2" i="4"/>
  <c r="G2" i="4"/>
  <c r="H2" i="4" s="1"/>
  <c r="K2" i="4" s="1"/>
  <c r="I38" i="1"/>
  <c r="L23" i="1"/>
  <c r="L20" i="1"/>
  <c r="L17" i="1"/>
  <c r="A7" i="1"/>
  <c r="M22" i="4" l="1"/>
  <c r="K22" i="4"/>
  <c r="Q13" i="4"/>
  <c r="L13" i="4"/>
  <c r="N13" i="4"/>
  <c r="M28" i="4"/>
  <c r="K28" i="4"/>
  <c r="N28" i="4" s="1"/>
  <c r="K4" i="4"/>
  <c r="N4" i="4" s="1"/>
  <c r="M4" i="4"/>
  <c r="E38" i="5" s="1"/>
  <c r="H38" i="5" s="1"/>
  <c r="K31" i="4"/>
  <c r="M31" i="4"/>
  <c r="M17" i="4"/>
  <c r="K17" i="4"/>
  <c r="N35" i="4"/>
  <c r="Q35" i="4"/>
  <c r="M26" i="4"/>
  <c r="K26" i="4"/>
  <c r="L23" i="4"/>
  <c r="Q29" i="4"/>
  <c r="N29" i="4"/>
  <c r="L29" i="4"/>
  <c r="M33" i="4"/>
  <c r="K33" i="4"/>
  <c r="M42" i="4"/>
  <c r="K42" i="4"/>
  <c r="N40" i="4"/>
  <c r="L40" i="4"/>
  <c r="Q40" i="4"/>
  <c r="K20" i="4"/>
  <c r="M20" i="4"/>
  <c r="K23" i="4"/>
  <c r="N23" i="4" s="1"/>
  <c r="M23" i="4"/>
  <c r="N48" i="4"/>
  <c r="L48" i="4"/>
  <c r="M10" i="4"/>
  <c r="K10" i="4"/>
  <c r="K36" i="4"/>
  <c r="M36" i="4"/>
  <c r="M9" i="4"/>
  <c r="K9" i="4"/>
  <c r="N9" i="4" s="1"/>
  <c r="L51" i="4"/>
  <c r="Q30" i="4"/>
  <c r="M38" i="4"/>
  <c r="K38" i="4"/>
  <c r="M3" i="4"/>
  <c r="L35" i="1"/>
  <c r="D7" i="1"/>
  <c r="K3" i="4"/>
  <c r="L34" i="1"/>
  <c r="N51" i="4"/>
  <c r="Q51" i="4"/>
  <c r="Q28" i="4"/>
  <c r="K7" i="4"/>
  <c r="Q7" i="4" s="1"/>
  <c r="M7" i="4"/>
  <c r="E58" i="5" s="1"/>
  <c r="H58" i="5" s="1"/>
  <c r="N27" i="4"/>
  <c r="Q27" i="4"/>
  <c r="Q16" i="4"/>
  <c r="N16" i="4"/>
  <c r="L22" i="4"/>
  <c r="E5" i="5"/>
  <c r="H5" i="5" s="1"/>
  <c r="E13" i="5"/>
  <c r="H13" i="5" s="1"/>
  <c r="E21" i="5"/>
  <c r="H21" i="5" s="1"/>
  <c r="E32" i="5"/>
  <c r="H32" i="5" s="1"/>
  <c r="J49" i="5"/>
  <c r="P5" i="4"/>
  <c r="J82" i="5" s="1"/>
  <c r="P14" i="4"/>
  <c r="L16" i="4"/>
  <c r="P42" i="4"/>
  <c r="L46" i="4"/>
  <c r="J2" i="5"/>
  <c r="D8" i="5"/>
  <c r="G8" i="5" s="1"/>
  <c r="J10" i="5"/>
  <c r="D16" i="5"/>
  <c r="G16" i="5" s="1"/>
  <c r="J18" i="5"/>
  <c r="D24" i="5"/>
  <c r="G24" i="5" s="1"/>
  <c r="J26" i="5"/>
  <c r="P44" i="4"/>
  <c r="E8" i="5"/>
  <c r="H8" i="5" s="1"/>
  <c r="E16" i="5"/>
  <c r="H16" i="5" s="1"/>
  <c r="E24" i="5"/>
  <c r="H24" i="5" s="1"/>
  <c r="J29" i="5"/>
  <c r="E44" i="5"/>
  <c r="H44" i="5" s="1"/>
  <c r="E77" i="5"/>
  <c r="H77" i="5" s="1"/>
  <c r="E47" i="5"/>
  <c r="H47" i="5" s="1"/>
  <c r="E37" i="5"/>
  <c r="H37" i="5" s="1"/>
  <c r="E35" i="5"/>
  <c r="H35" i="5" s="1"/>
  <c r="E31" i="5"/>
  <c r="H31" i="5" s="1"/>
  <c r="E95" i="5"/>
  <c r="H95" i="5" s="1"/>
  <c r="E87" i="5"/>
  <c r="H87" i="5" s="1"/>
  <c r="E33" i="5"/>
  <c r="H33" i="5" s="1"/>
  <c r="E29" i="5"/>
  <c r="H29" i="5" s="1"/>
  <c r="J96" i="5"/>
  <c r="J94" i="5"/>
  <c r="E84" i="5"/>
  <c r="H84" i="5" s="1"/>
  <c r="E80" i="5"/>
  <c r="H80" i="5" s="1"/>
  <c r="E78" i="5"/>
  <c r="H78" i="5" s="1"/>
  <c r="E76" i="5"/>
  <c r="H76" i="5" s="1"/>
  <c r="L35" i="4"/>
  <c r="M41" i="4"/>
  <c r="K41" i="4"/>
  <c r="N41" i="4" s="1"/>
  <c r="Q50" i="4"/>
  <c r="P50" i="4"/>
  <c r="D3" i="5"/>
  <c r="G3" i="5" s="1"/>
  <c r="J5" i="5"/>
  <c r="D11" i="5"/>
  <c r="G11" i="5" s="1"/>
  <c r="J13" i="5"/>
  <c r="D19" i="5"/>
  <c r="G19" i="5" s="1"/>
  <c r="J21" i="5"/>
  <c r="D27" i="5"/>
  <c r="G27" i="5" s="1"/>
  <c r="J32" i="5"/>
  <c r="Q2" i="4"/>
  <c r="P9" i="4"/>
  <c r="J64" i="5" s="1"/>
  <c r="L11" i="4"/>
  <c r="M30" i="4"/>
  <c r="M51" i="4"/>
  <c r="D6" i="5"/>
  <c r="G6" i="5" s="1"/>
  <c r="J8" i="5"/>
  <c r="D14" i="5"/>
  <c r="G14" i="5" s="1"/>
  <c r="J16" i="5"/>
  <c r="D22" i="5"/>
  <c r="G22" i="5" s="1"/>
  <c r="J24" i="5"/>
  <c r="E30" i="5"/>
  <c r="H30" i="5" s="1"/>
  <c r="J83" i="5"/>
  <c r="L41" i="4"/>
  <c r="E6" i="5"/>
  <c r="H6" i="5" s="1"/>
  <c r="M15" i="4"/>
  <c r="P41" i="4"/>
  <c r="L43" i="4"/>
  <c r="K45" i="4"/>
  <c r="L47" i="4"/>
  <c r="J3" i="5"/>
  <c r="D9" i="5"/>
  <c r="G9" i="5" s="1"/>
  <c r="J11" i="5"/>
  <c r="D17" i="5"/>
  <c r="G17" i="5" s="1"/>
  <c r="J19" i="5"/>
  <c r="D25" i="5"/>
  <c r="G25" i="5" s="1"/>
  <c r="J27" i="5"/>
  <c r="E42" i="5"/>
  <c r="H42" i="5" s="1"/>
  <c r="E27" i="5"/>
  <c r="H27" i="5" s="1"/>
  <c r="Q4" i="4"/>
  <c r="N15" i="4"/>
  <c r="K30" i="4"/>
  <c r="N30" i="4" s="1"/>
  <c r="L36" i="4"/>
  <c r="M43" i="4"/>
  <c r="E9" i="5"/>
  <c r="H9" i="5" s="1"/>
  <c r="E17" i="5"/>
  <c r="H17" i="5" s="1"/>
  <c r="E25" i="5"/>
  <c r="H25" i="5" s="1"/>
  <c r="J30" i="5"/>
  <c r="J33" i="5"/>
  <c r="J62" i="5"/>
  <c r="J74" i="5"/>
  <c r="E19" i="5"/>
  <c r="H19" i="5" s="1"/>
  <c r="J38" i="5"/>
  <c r="Q9" i="4"/>
  <c r="K6" i="4"/>
  <c r="L6" i="4" s="1"/>
  <c r="P6" i="4"/>
  <c r="E93" i="5" s="1"/>
  <c r="H93" i="5" s="1"/>
  <c r="K19" i="4"/>
  <c r="L19" i="4" s="1"/>
  <c r="K32" i="4"/>
  <c r="L34" i="4"/>
  <c r="L38" i="4"/>
  <c r="M47" i="4"/>
  <c r="K49" i="4"/>
  <c r="N49" i="4" s="1"/>
  <c r="D4" i="5"/>
  <c r="G4" i="5" s="1"/>
  <c r="J6" i="5"/>
  <c r="D12" i="5"/>
  <c r="G12" i="5" s="1"/>
  <c r="J14" i="5"/>
  <c r="D20" i="5"/>
  <c r="G20" i="5" s="1"/>
  <c r="J22" i="5"/>
  <c r="J36" i="5"/>
  <c r="J39" i="5"/>
  <c r="J68" i="5"/>
  <c r="Q39" i="4"/>
  <c r="E14" i="5"/>
  <c r="H14" i="5" s="1"/>
  <c r="J53" i="5"/>
  <c r="Q11" i="4"/>
  <c r="K21" i="4"/>
  <c r="Q26" i="4"/>
  <c r="P26" i="4"/>
  <c r="L8" i="4"/>
  <c r="P15" i="4"/>
  <c r="P28" i="4"/>
  <c r="L32" i="4"/>
  <c r="M34" i="4"/>
  <c r="P51" i="4"/>
  <c r="E4" i="5"/>
  <c r="H4" i="5" s="1"/>
  <c r="E12" i="5"/>
  <c r="H12" i="5" s="1"/>
  <c r="E20" i="5"/>
  <c r="H20" i="5" s="1"/>
  <c r="E28" i="5"/>
  <c r="H28" i="5" s="1"/>
  <c r="J42" i="5"/>
  <c r="J45" i="5"/>
  <c r="E60" i="5"/>
  <c r="H60" i="5" s="1"/>
  <c r="Q48" i="4"/>
  <c r="N43" i="4"/>
  <c r="E36" i="5"/>
  <c r="H36" i="5" s="1"/>
  <c r="M12" i="4"/>
  <c r="K12" i="4"/>
  <c r="M25" i="4"/>
  <c r="K25" i="4"/>
  <c r="Q43" i="4"/>
  <c r="P49" i="4"/>
  <c r="D7" i="5"/>
  <c r="G7" i="5" s="1"/>
  <c r="J9" i="5"/>
  <c r="D15" i="5"/>
  <c r="G15" i="5" s="1"/>
  <c r="J17" i="5"/>
  <c r="D23" i="5"/>
  <c r="G23" i="5" s="1"/>
  <c r="J25" i="5"/>
  <c r="E34" i="5"/>
  <c r="H34" i="5" s="1"/>
  <c r="J48" i="5"/>
  <c r="J51" i="5"/>
  <c r="J81" i="5"/>
  <c r="L17" i="4"/>
  <c r="L28" i="4"/>
  <c r="K5" i="4"/>
  <c r="N8" i="4"/>
  <c r="Q34" i="4"/>
  <c r="P47" i="4"/>
  <c r="E7" i="5"/>
  <c r="H7" i="5" s="1"/>
  <c r="E15" i="5"/>
  <c r="H15" i="5" s="1"/>
  <c r="E23" i="5"/>
  <c r="H23" i="5" s="1"/>
  <c r="J54" i="5"/>
  <c r="J57" i="5"/>
  <c r="J78" i="5"/>
  <c r="E22" i="5"/>
  <c r="H22" i="5" s="1"/>
  <c r="P21" i="4"/>
  <c r="Q23" i="4"/>
  <c r="P36" i="4"/>
  <c r="P38" i="4"/>
  <c r="M44" i="4"/>
  <c r="K44" i="4"/>
  <c r="N44" i="4" s="1"/>
  <c r="M46" i="4"/>
  <c r="D2" i="5"/>
  <c r="G2" i="5" s="1"/>
  <c r="J4" i="5"/>
  <c r="D10" i="5"/>
  <c r="G10" i="5" s="1"/>
  <c r="J12" i="5"/>
  <c r="D18" i="5"/>
  <c r="G18" i="5" s="1"/>
  <c r="J20" i="5"/>
  <c r="D26" i="5"/>
  <c r="G26" i="5" s="1"/>
  <c r="J28" i="5"/>
  <c r="J31" i="5"/>
  <c r="J60" i="5"/>
  <c r="J63" i="5"/>
  <c r="J75" i="5"/>
  <c r="E11" i="5"/>
  <c r="H11" i="5" s="1"/>
  <c r="Q37" i="4"/>
  <c r="P37" i="4"/>
  <c r="K14" i="4"/>
  <c r="N14" i="4" s="1"/>
  <c r="P23" i="4"/>
  <c r="E2" i="5"/>
  <c r="H2" i="5" s="1"/>
  <c r="E10" i="5"/>
  <c r="H10" i="5" s="1"/>
  <c r="E18" i="5"/>
  <c r="H18" i="5" s="1"/>
  <c r="E26" i="5"/>
  <c r="H26" i="5" s="1"/>
  <c r="J34" i="5"/>
  <c r="J37" i="5"/>
  <c r="J66" i="5"/>
  <c r="J69" i="5"/>
  <c r="J72" i="5"/>
  <c r="J85" i="5"/>
  <c r="Q10" i="4"/>
  <c r="P10" i="4"/>
  <c r="J50" i="5" s="1"/>
  <c r="L33" i="4"/>
  <c r="M35" i="4"/>
  <c r="D5" i="5"/>
  <c r="G5" i="5" s="1"/>
  <c r="J7" i="5"/>
  <c r="D13" i="5"/>
  <c r="G13" i="5" s="1"/>
  <c r="J15" i="5"/>
  <c r="D21" i="5"/>
  <c r="G21" i="5" s="1"/>
  <c r="J23" i="5"/>
  <c r="J40" i="5"/>
  <c r="J43" i="5"/>
  <c r="N25" i="4" l="1"/>
  <c r="Q25" i="4"/>
  <c r="E82" i="5"/>
  <c r="H82" i="5" s="1"/>
  <c r="E97" i="5"/>
  <c r="H97" i="5" s="1"/>
  <c r="E63" i="5"/>
  <c r="H63" i="5" s="1"/>
  <c r="E64" i="5"/>
  <c r="H64" i="5" s="1"/>
  <c r="Q14" i="4"/>
  <c r="J41" i="5"/>
  <c r="L14" i="4"/>
  <c r="L42" i="4"/>
  <c r="N42" i="4"/>
  <c r="L31" i="4"/>
  <c r="Q31" i="4"/>
  <c r="N31" i="4"/>
  <c r="E86" i="5"/>
  <c r="H86" i="5" s="1"/>
  <c r="E45" i="5"/>
  <c r="H45" i="5" s="1"/>
  <c r="E91" i="5"/>
  <c r="H91" i="5" s="1"/>
  <c r="J46" i="5"/>
  <c r="E41" i="5"/>
  <c r="H41" i="5" s="1"/>
  <c r="E68" i="5"/>
  <c r="H68" i="5" s="1"/>
  <c r="E62" i="5"/>
  <c r="H62" i="5" s="1"/>
  <c r="E88" i="5"/>
  <c r="H88" i="5" s="1"/>
  <c r="E39" i="5"/>
  <c r="H39" i="5" s="1"/>
  <c r="E49" i="5"/>
  <c r="H49" i="5" s="1"/>
  <c r="J91" i="5"/>
  <c r="Q33" i="4"/>
  <c r="N33" i="4"/>
  <c r="J70" i="5"/>
  <c r="J65" i="5"/>
  <c r="E56" i="5"/>
  <c r="H56" i="5" s="1"/>
  <c r="J47" i="5"/>
  <c r="E90" i="5"/>
  <c r="H90" i="5" s="1"/>
  <c r="E43" i="5"/>
  <c r="H43" i="5" s="1"/>
  <c r="E53" i="5"/>
  <c r="H53" i="5" s="1"/>
  <c r="J93" i="5"/>
  <c r="L9" i="4"/>
  <c r="Q36" i="4"/>
  <c r="N36" i="4"/>
  <c r="Q49" i="4"/>
  <c r="L49" i="4"/>
  <c r="J44" i="5"/>
  <c r="E92" i="5"/>
  <c r="H92" i="5" s="1"/>
  <c r="E51" i="5"/>
  <c r="H51" i="5" s="1"/>
  <c r="E59" i="5"/>
  <c r="H59" i="5" s="1"/>
  <c r="J95" i="5"/>
  <c r="N10" i="4"/>
  <c r="L10" i="4"/>
  <c r="N12" i="4"/>
  <c r="Q12" i="4"/>
  <c r="E52" i="5"/>
  <c r="H52" i="5" s="1"/>
  <c r="J87" i="5"/>
  <c r="J73" i="5"/>
  <c r="E94" i="5"/>
  <c r="H94" i="5" s="1"/>
  <c r="E57" i="5"/>
  <c r="H57" i="5" s="1"/>
  <c r="E65" i="5"/>
  <c r="H65" i="5" s="1"/>
  <c r="J97" i="5"/>
  <c r="J79" i="5"/>
  <c r="Q42" i="4"/>
  <c r="N3" i="4"/>
  <c r="Q3" i="4"/>
  <c r="D30" i="5" s="1"/>
  <c r="G30" i="5" s="1"/>
  <c r="L3" i="4"/>
  <c r="E55" i="5"/>
  <c r="H55" i="5" s="1"/>
  <c r="J71" i="5"/>
  <c r="Q45" i="4"/>
  <c r="N45" i="4"/>
  <c r="L45" i="4"/>
  <c r="J67" i="5"/>
  <c r="E96" i="5"/>
  <c r="H96" i="5" s="1"/>
  <c r="E61" i="5"/>
  <c r="H61" i="5" s="1"/>
  <c r="E69" i="5"/>
  <c r="H69" i="5" s="1"/>
  <c r="E70" i="5"/>
  <c r="H70" i="5" s="1"/>
  <c r="Q20" i="4"/>
  <c r="N20" i="4"/>
  <c r="L20" i="4"/>
  <c r="E48" i="5"/>
  <c r="H48" i="5" s="1"/>
  <c r="J77" i="5"/>
  <c r="J84" i="5"/>
  <c r="E67" i="5"/>
  <c r="H67" i="5" s="1"/>
  <c r="E73" i="5"/>
  <c r="H73" i="5" s="1"/>
  <c r="J55" i="5"/>
  <c r="Q17" i="4"/>
  <c r="N17" i="4"/>
  <c r="N21" i="4"/>
  <c r="L21" i="4"/>
  <c r="E66" i="5"/>
  <c r="H66" i="5" s="1"/>
  <c r="L25" i="4"/>
  <c r="E46" i="5"/>
  <c r="H46" i="5" s="1"/>
  <c r="D12" i="1" s="1"/>
  <c r="L12" i="4"/>
  <c r="Q32" i="4"/>
  <c r="N32" i="4"/>
  <c r="J59" i="5"/>
  <c r="J86" i="5"/>
  <c r="E71" i="5"/>
  <c r="H71" i="5" s="1"/>
  <c r="E81" i="5"/>
  <c r="H81" i="5" s="1"/>
  <c r="J76" i="5"/>
  <c r="J52" i="5"/>
  <c r="D94" i="5"/>
  <c r="G94" i="5" s="1"/>
  <c r="Q44" i="4"/>
  <c r="N6" i="4"/>
  <c r="Q6" i="4"/>
  <c r="E40" i="5"/>
  <c r="H40" i="5" s="1"/>
  <c r="J7" i="1" s="1"/>
  <c r="Q21" i="4"/>
  <c r="D75" i="5"/>
  <c r="G75" i="5" s="1"/>
  <c r="L30" i="4"/>
  <c r="J56" i="5"/>
  <c r="D53" i="5"/>
  <c r="G53" i="5" s="1"/>
  <c r="J88" i="5"/>
  <c r="E75" i="5"/>
  <c r="H75" i="5" s="1"/>
  <c r="E85" i="5"/>
  <c r="H85" i="5" s="1"/>
  <c r="J61" i="5"/>
  <c r="J89" i="5"/>
  <c r="Q41" i="4"/>
  <c r="L26" i="4"/>
  <c r="N26" i="4"/>
  <c r="L4" i="4"/>
  <c r="L44" i="4"/>
  <c r="N5" i="4"/>
  <c r="L5" i="4"/>
  <c r="E54" i="5"/>
  <c r="H54" i="5" s="1"/>
  <c r="A12" i="1" s="1"/>
  <c r="N19" i="4"/>
  <c r="Q19" i="4"/>
  <c r="J80" i="5"/>
  <c r="E50" i="5"/>
  <c r="H50" i="5" s="1"/>
  <c r="E72" i="5"/>
  <c r="H72" i="5" s="1"/>
  <c r="J90" i="5"/>
  <c r="E79" i="5"/>
  <c r="H79" i="5" s="1"/>
  <c r="E89" i="5"/>
  <c r="H89" i="5" s="1"/>
  <c r="J58" i="5"/>
  <c r="Q5" i="4"/>
  <c r="D86" i="5" s="1"/>
  <c r="G86" i="5" s="1"/>
  <c r="N22" i="4"/>
  <c r="Q22" i="4"/>
  <c r="L7" i="4"/>
  <c r="N7" i="4"/>
  <c r="D45" i="5"/>
  <c r="G45" i="5" s="1"/>
  <c r="J35" i="5"/>
  <c r="L19" i="1" s="1"/>
  <c r="E74" i="5"/>
  <c r="H74" i="5" s="1"/>
  <c r="J92" i="5"/>
  <c r="E83" i="5"/>
  <c r="H83" i="5" s="1"/>
  <c r="N38" i="4"/>
  <c r="Q38" i="4"/>
  <c r="D57" i="5" l="1"/>
  <c r="G57" i="5" s="1"/>
  <c r="D83" i="5"/>
  <c r="G83" i="5" s="1"/>
  <c r="D36" i="5"/>
  <c r="G36" i="5" s="1"/>
  <c r="D35" i="5"/>
  <c r="G35" i="5" s="1"/>
  <c r="D56" i="5"/>
  <c r="G56" i="5" s="1"/>
  <c r="L37" i="1"/>
  <c r="L22" i="1"/>
  <c r="L18" i="1"/>
  <c r="D63" i="5"/>
  <c r="G63" i="5" s="1"/>
  <c r="D93" i="5"/>
  <c r="G93" i="5" s="1"/>
  <c r="D70" i="5"/>
  <c r="G70" i="5" s="1"/>
  <c r="D71" i="5"/>
  <c r="G71" i="5" s="1"/>
  <c r="D66" i="5"/>
  <c r="G66" i="5" s="1"/>
  <c r="D95" i="5"/>
  <c r="G95" i="5" s="1"/>
  <c r="D96" i="5"/>
  <c r="G96" i="5" s="1"/>
  <c r="D82" i="5"/>
  <c r="G82" i="5" s="1"/>
  <c r="D58" i="5"/>
  <c r="G58" i="5" s="1"/>
  <c r="D61" i="5"/>
  <c r="G61" i="5" s="1"/>
  <c r="D64" i="5"/>
  <c r="G64" i="5" s="1"/>
  <c r="D76" i="5"/>
  <c r="G76" i="5" s="1"/>
  <c r="D88" i="5"/>
  <c r="G88" i="5" s="1"/>
  <c r="D85" i="5"/>
  <c r="G85" i="5" s="1"/>
  <c r="D73" i="5"/>
  <c r="G73" i="5" s="1"/>
  <c r="D60" i="5"/>
  <c r="G60" i="5" s="1"/>
  <c r="D92" i="5"/>
  <c r="G92" i="5" s="1"/>
  <c r="D49" i="5"/>
  <c r="G49" i="5" s="1"/>
  <c r="D68" i="5"/>
  <c r="G68" i="5" s="1"/>
  <c r="D43" i="5"/>
  <c r="G43" i="5" s="1"/>
  <c r="D55" i="5"/>
  <c r="G55" i="5" s="1"/>
  <c r="D67" i="5"/>
  <c r="G67" i="5" s="1"/>
  <c r="D28" i="5"/>
  <c r="G28" i="5" s="1"/>
  <c r="D33" i="5"/>
  <c r="G33" i="5" s="1"/>
  <c r="D84" i="5"/>
  <c r="G84" i="5" s="1"/>
  <c r="D51" i="5"/>
  <c r="G51" i="5" s="1"/>
  <c r="D52" i="5"/>
  <c r="G52" i="5" s="1"/>
  <c r="D54" i="5"/>
  <c r="G54" i="5" s="1"/>
  <c r="D78" i="5"/>
  <c r="G78" i="5" s="1"/>
  <c r="D37" i="5"/>
  <c r="G37" i="5" s="1"/>
  <c r="D40" i="5"/>
  <c r="G40" i="5" s="1"/>
  <c r="D80" i="5"/>
  <c r="G80" i="5" s="1"/>
  <c r="D91" i="5"/>
  <c r="G91" i="5" s="1"/>
  <c r="D89" i="5"/>
  <c r="G89" i="5" s="1"/>
  <c r="D97" i="5"/>
  <c r="G97" i="5" s="1"/>
  <c r="D31" i="5"/>
  <c r="G31" i="5" s="1"/>
  <c r="D32" i="5"/>
  <c r="G32" i="5" s="1"/>
  <c r="D65" i="5"/>
  <c r="G65" i="5" s="1"/>
  <c r="D81" i="5"/>
  <c r="G81" i="5" s="1"/>
  <c r="D29" i="5"/>
  <c r="G29" i="5" s="1"/>
  <c r="D47" i="5"/>
  <c r="G47" i="5" s="1"/>
  <c r="D69" i="5"/>
  <c r="G69" i="5" s="1"/>
  <c r="D39" i="5"/>
  <c r="G39" i="5" s="1"/>
  <c r="D74" i="5"/>
  <c r="G74" i="5" s="1"/>
  <c r="D34" i="5"/>
  <c r="G34" i="5" s="1"/>
  <c r="D72" i="5"/>
  <c r="G72" i="5" s="1"/>
  <c r="D46" i="5"/>
  <c r="G46" i="5" s="1"/>
  <c r="D79" i="5"/>
  <c r="G79" i="5" s="1"/>
  <c r="D62" i="5"/>
  <c r="G62" i="5" s="1"/>
  <c r="D41" i="5"/>
  <c r="G41" i="5" s="1"/>
  <c r="D50" i="5"/>
  <c r="G50" i="5" s="1"/>
  <c r="L21" i="1"/>
  <c r="J12" i="1"/>
  <c r="D59" i="5"/>
  <c r="G59" i="5" s="1"/>
  <c r="D44" i="5"/>
  <c r="G44" i="5" s="1"/>
  <c r="D90" i="5"/>
  <c r="G90" i="5" s="1"/>
  <c r="D87" i="5"/>
  <c r="G87" i="5" s="1"/>
  <c r="D77" i="5"/>
  <c r="G77" i="5" s="1"/>
  <c r="D42" i="5"/>
  <c r="G42" i="5" s="1"/>
  <c r="D48" i="5"/>
  <c r="G48" i="5" s="1"/>
  <c r="D38" i="5"/>
  <c r="G38" i="5" s="1"/>
  <c r="G12" i="1" l="1"/>
  <c r="G7" i="1"/>
  <c r="L36" i="1"/>
</calcChain>
</file>

<file path=xl/sharedStrings.xml><?xml version="1.0" encoding="utf-8"?>
<sst xmlns="http://schemas.openxmlformats.org/spreadsheetml/2006/main" count="210" uniqueCount="190">
  <si>
    <t>Preliminary screening alat za e-depo • charge-on-arrival vs. even-spread profil • nije elektroprojekat niti CSMS optimizer</t>
  </si>
  <si>
    <t>AKTIVNA VOZILA</t>
  </si>
  <si>
    <t>GRID ENERGIJA / DAN</t>
  </si>
  <si>
    <t>CHARGE-ON-ARRIVAL PEAK</t>
  </si>
  <si>
    <t>EVEN-SPREAD PEAK</t>
  </si>
  <si>
    <t>SCREENING CAPACITY + REZERVA</t>
  </si>
  <si>
    <t>HEADROOM PREMA GRID LIMITU</t>
  </si>
  <si>
    <t>SCREENING PEAK REDUCTION</t>
  </si>
  <si>
    <t>SCREENING STATUS</t>
  </si>
  <si>
    <t>KLJUČNE PROVERE</t>
  </si>
  <si>
    <t>Grid limit (kW)</t>
  </si>
  <si>
    <t>Screening capacity + rezerva</t>
  </si>
  <si>
    <t>Max istovremeno povezanih vozila</t>
  </si>
  <si>
    <t>Punjačkih portova</t>
  </si>
  <si>
    <t>Neizvodljiv individualni window</t>
  </si>
  <si>
    <t>Grid iskorišćenost – screening</t>
  </si>
  <si>
    <t>Instalirana nameplate charging snaga</t>
  </si>
  <si>
    <t>KAKO ČITATI REZULTAT</t>
  </si>
  <si>
    <t>Even-spread profil ravnomerno raspodeljuje energiju svakog vozila kroz njegov charging window. To NIJE optimalni smart-charging raspored. Ako screening capacity sa rezervom ostaje ispod grid limita, a port i window provere su OK, postoji osnov da se uradi detaljnija CSMS/EMS simulacija pre povećanja priključne snage. Ako ne prolazi, razmotriti veću snagu, više portova, drugačiji raspored, opportunity charging ili druge infrastrukturne mere.</t>
  </si>
  <si>
    <t>OPCIONI TROŠKOVNI SCREENING</t>
  </si>
  <si>
    <t>Dnevni energy cost</t>
  </si>
  <si>
    <t>Mesečni energy cost</t>
  </si>
  <si>
    <t>Peak charge – COA</t>
  </si>
  <si>
    <t>Peak charge – even-spread</t>
  </si>
  <si>
    <t>Javni screening alat za preliminarnu procenu peak-a i fleksibilnosti depot charging-a</t>
  </si>
  <si>
    <t>KAKO SE KORISTI – 4 KORAKA</t>
  </si>
  <si>
    <t>1</t>
  </si>
  <si>
    <t>INPUTS</t>
  </si>
  <si>
    <t>Unesite parametre priključka, punjača, gubitaka, safety margine i opcione cene.</t>
  </si>
  <si>
    <t>2</t>
  </si>
  <si>
    <t>VEHICLES</t>
  </si>
  <si>
    <t>Zamenite DEMO redove realnim podacima po vozilu: km, kWh/100 km, max kW, dolazak i sledeći polazak.</t>
  </si>
  <si>
    <t>3</t>
  </si>
  <si>
    <t>DASHBOARD</t>
  </si>
  <si>
    <t>Uporedite charge-on-arrival peak sa even-spread screening profilom i proverite status.</t>
  </si>
  <si>
    <t>4</t>
  </si>
  <si>
    <t>ODLUKA</t>
  </si>
  <si>
    <t>Ako postoji značajna fleksibilnost, uradite pravi CSMS/EMS optimizacioni model pre povećanja priključne snage.</t>
  </si>
  <si>
    <t>LEGENDA</t>
  </si>
  <si>
    <t>ŽUTA POLJA</t>
  </si>
  <si>
    <t>Korisnički unos</t>
  </si>
  <si>
    <t>SIVA POLJA</t>
  </si>
  <si>
    <t>Formula / automatski rezultat</t>
  </si>
  <si>
    <t>ZELENO</t>
  </si>
  <si>
    <t>Screening prolazi osnovne provere</t>
  </si>
  <si>
    <t>ŽUTO</t>
  </si>
  <si>
    <t>Mali headroom / potrebno detaljnije proveriti</t>
  </si>
  <si>
    <t>CRVENO</t>
  </si>
  <si>
    <t>Grid / port / window problem u screening scenariju</t>
  </si>
  <si>
    <t>ŠTA ALAT RADI – I ŠTA NE RADI</t>
  </si>
  <si>
    <t>RADI</t>
  </si>
  <si>
    <t>Do 50 vozila; jedan depot charging window po vozilu u 24h; 15-min profil; charging losses + energy margin; COA i even-spread screening; grid/port/window provere.</t>
  </si>
  <si>
    <t>NE RADI</t>
  </si>
  <si>
    <t>Ne optimizuje tarife, charger assignment, SOC krive/tapering, opportunity charging, PV/BESS/V2G, N-1 redundansu, reaktivnu snagu, DSO tehničke uslove ili stvarni elektroprojekat.</t>
  </si>
  <si>
    <t>VAŽNO</t>
  </si>
  <si>
    <t>Even-spread je namerno jednostavan scenario: potrebna grid energija se ravnomerno deli kroz raspoloživi charging window. To nije dokaz minimalne moguće priključne snage.</t>
  </si>
  <si>
    <t>CIKLUS</t>
  </si>
  <si>
    <t>Početak 24h analize postavite PRE najranijeg relevantnog povratka u depo. Za overnight depo 12:00 je često praktična početna tačka.</t>
  </si>
  <si>
    <t>METODOLOŠKA NAPOMENA</t>
  </si>
  <si>
    <t>Istraživanje ETH Zurich iz jula 2026. pokazuje da optimizacija u analizirana četiri e-bus depoa može snažno promeniti trošak i minimalno potreban grid capacity, ali rezultat zavisi od reda vožnje, energetskog zahteva, cena i grid ograničenja. IEA 2026 naglašava da planiranje depot charging-a treba integrisati sa profilom ruta, baterijama i brojem punjača. Zbog toga ovaj fajl koristi konzervativan naziv 'preliminary screening capacity', a ne 'recommended connection size'.</t>
  </si>
  <si>
    <t>INPUTS  |  Globalni parametri depoa</t>
  </si>
  <si>
    <t>Menjajte samo žuta polja. Demo vrednosti su ilustrativne i nisu preporuka za konkretan projekat.</t>
  </si>
  <si>
    <t>Parametar</t>
  </si>
  <si>
    <t>Vrednost</t>
  </si>
  <si>
    <t>Jedinica</t>
  </si>
  <si>
    <t>Napomena</t>
  </si>
  <si>
    <t>Efikasnost punjenja</t>
  </si>
  <si>
    <t>%</t>
  </si>
  <si>
    <t>Grid → baterija. Unesite measured/ugovorenu efikasnost kompletnog charging lanca.</t>
  </si>
  <si>
    <t>Safety margin energije</t>
  </si>
  <si>
    <t>Rezerva za odstupanje realne potrošnje i operativne varijacije.</t>
  </si>
  <si>
    <t>Bazno opterećenje depoa</t>
  </si>
  <si>
    <t>kW</t>
  </si>
  <si>
    <t>Radionica, HVAC, rasveta, kompresori i ostali potrošači na istom priključku.</t>
  </si>
  <si>
    <t>Odobrena / raspoloživa grid snaga</t>
  </si>
  <si>
    <t>Raspoloživa aktivna snaga za charging + bazni load.</t>
  </si>
  <si>
    <t>Max snaga jednog charging porta</t>
  </si>
  <si>
    <t>Maksimalna snaga koju jedan priključeni autobus može dobiti od jednog porta.</t>
  </si>
  <si>
    <t>Broj charging portova</t>
  </si>
  <si>
    <t>port</t>
  </si>
  <si>
    <t>Broj vozila koja mogu fizički istovremeno puniti u ovom screening modelu.</t>
  </si>
  <si>
    <t>Početak 24h analize</t>
  </si>
  <si>
    <t>hh:mm</t>
  </si>
  <si>
    <t>Postaviti pre najranijeg relevantnog povratka u depot ciklusu; npr. 12:00 za overnight scenario.</t>
  </si>
  <si>
    <t>Cena energije – opciono</t>
  </si>
  <si>
    <t>po kWh</t>
  </si>
  <si>
    <t>Jednostavan energy-cost screening; proveriti stvarni ugovor/tarifu.</t>
  </si>
  <si>
    <t>Demand / peak charge – opciono</t>
  </si>
  <si>
    <t>po kW-mesec</t>
  </si>
  <si>
    <t>Pojednostavljen unos. Ne pokušava da reprodukuje složene DSO tarife.</t>
  </si>
  <si>
    <t>Valuta</t>
  </si>
  <si>
    <t>RSD</t>
  </si>
  <si>
    <t>RSD ili EUR.</t>
  </si>
  <si>
    <t>Screening rezerva na peak</t>
  </si>
  <si>
    <t>Dodaje headroom preko even-spread peak-a. Nije elektroprojektna rezerva.</t>
  </si>
  <si>
    <t>Broj dana u mesecu</t>
  </si>
  <si>
    <t>dan</t>
  </si>
  <si>
    <t>Koristi se samo za opcioni mesečni energy cost.</t>
  </si>
  <si>
    <t>Žuti prag grid iskorišćenosti</t>
  </si>
  <si>
    <t>Iznad ovog odnosa screening capacity / grid limit status prelazi u 'OGRANIČEN HEADROOM'.</t>
  </si>
  <si>
    <t>Rezolucija modela</t>
  </si>
  <si>
    <t>min</t>
  </si>
  <si>
    <t>Fiksno u v1.0. Ne menjati.</t>
  </si>
  <si>
    <t>BRZA PROVERA PRE UNOSA</t>
  </si>
  <si>
    <t>Da li grid limit uključuje bazno opterećenje objekta?</t>
  </si>
  <si>
    <t>Da li max port kW odgovara realnom ograničenju punjača, ne samo nameplate-u kabineta?</t>
  </si>
  <si>
    <t>Da li su kWh/100 km realni podaci iz eksploatacije?</t>
  </si>
  <si>
    <t>Da li arrival/departure predstavljaju isti 24h depot ciklus?</t>
  </si>
  <si>
    <t>Vozilo</t>
  </si>
  <si>
    <t>Dnevni km</t>
  </si>
  <si>
    <t>kWh/100 km</t>
  </si>
  <si>
    <t>Max vozilo kW</t>
  </si>
  <si>
    <t>Dolazak</t>
  </si>
  <si>
    <t>Sledeći polazak</t>
  </si>
  <si>
    <t>Energija ruta kWh</t>
  </si>
  <si>
    <t>Grid energija + rezerva kWh</t>
  </si>
  <si>
    <t>Charging window h</t>
  </si>
  <si>
    <t>Efektivni max kW</t>
  </si>
  <si>
    <t>Min. dedicated h</t>
  </si>
  <si>
    <t>Slack / fleksibilnost h</t>
  </si>
  <si>
    <t>Even-spread kW</t>
  </si>
  <si>
    <t>Window feasible?</t>
  </si>
  <si>
    <t>Norm dolazak h</t>
  </si>
  <si>
    <t>Norm polazak h</t>
  </si>
  <si>
    <t>COA kraj punjenja h</t>
  </si>
  <si>
    <t>DEMO Bus 01</t>
  </si>
  <si>
    <t>DEMO – zameniti stvarnim podacima</t>
  </si>
  <si>
    <t>DEMO Bus 02</t>
  </si>
  <si>
    <t>DEMO Bus 03</t>
  </si>
  <si>
    <t>DEMO Bus 04</t>
  </si>
  <si>
    <t>DEMO Bus 05</t>
  </si>
  <si>
    <t>DEMO Bus 06</t>
  </si>
  <si>
    <t>DEMO Bus 07</t>
  </si>
  <si>
    <t>DEMO Bus 08</t>
  </si>
  <si>
    <t>DEMO Bus 09</t>
  </si>
  <si>
    <t>DEMO Bus 10</t>
  </si>
  <si>
    <t>Slot #</t>
  </si>
  <si>
    <t>Relativni sat</t>
  </si>
  <si>
    <t>Vreme</t>
  </si>
  <si>
    <t>Charge-on-arrival bus kW</t>
  </si>
  <si>
    <t>Even-spread bus kW</t>
  </si>
  <si>
    <t>Bazno opterećenje kW</t>
  </si>
  <si>
    <t>COA total kW</t>
  </si>
  <si>
    <t>Even-spread total kW</t>
  </si>
  <si>
    <t>Grid limit kW</t>
  </si>
  <si>
    <t>Connected vehicles</t>
  </si>
  <si>
    <t>IZVORI I METODOLOGIJA</t>
  </si>
  <si>
    <t>Izvor</t>
  </si>
  <si>
    <t>Datum</t>
  </si>
  <si>
    <t>URL</t>
  </si>
  <si>
    <t>Kako je korišćen</t>
  </si>
  <si>
    <t>ETH Zurich – Optimal Electric Bus Depot Charging</t>
  </si>
  <si>
    <t>31.07.2026</t>
  </si>
  <si>
    <t>https://arxiv.org/abs/2607.29304</t>
  </si>
  <si>
    <t>Glavni research signal: charge-on-arrival, grid constraints, robustnost i potencijal optimizacije. Preprint – rezultati nisu univerzalna garancija.</t>
  </si>
  <si>
    <t>IEA – Global EV Outlook 2026: Electric vehicle charging</t>
  </si>
  <si>
    <t>20.05.2026</t>
  </si>
  <si>
    <t>https://www.iea.org/reports/global-ev-outlook-2026/electric-vehicle-charging-chap-6-and-10</t>
  </si>
  <si>
    <t>Integrisano planiranje ruta, baterija, charging strategije, broj punjača i grid connection timeline.</t>
  </si>
  <si>
    <t>Grenander &amp; Daniels – Findings</t>
  </si>
  <si>
    <t>19.02.2026</t>
  </si>
  <si>
    <t>https://findingspress.org/article/157584-price-signals-and-load-flexibility-in-public-transport-a-cost-analysis-of-electric-bus-charging</t>
  </si>
  <si>
    <t>Tarifni kontekst: flat load nije nužno najjeftiniji; peak shaving vrednost zavisi od cena i DSO tarife.</t>
  </si>
  <si>
    <t>AERS – Regulacija cena, pitanja i odgovori</t>
  </si>
  <si>
    <t>pristupljeno 17.08.2026</t>
  </si>
  <si>
    <t>https://www.aers.rs/regulacija-cena-pitanja-i-odgovori</t>
  </si>
  <si>
    <t>Srbija: maksimalna aktivna snaga, odobrena/prekomerna snaga i mogućnost upravljanja maksimalnom snagom kroz dinamiku potrošnje.</t>
  </si>
  <si>
    <t>ICCT – Charging Infrastructure for Battery Electric Bus Operations</t>
  </si>
  <si>
    <t>14.04.2026</t>
  </si>
  <si>
    <t>https://theicct.org/publication/charging-infrastructure-for-battery-electric-bus-operations-sao-paulo-apr26/</t>
  </si>
  <si>
    <t>Dodatni operativni kontekst za odnos ruta, charger deployment-a i grid power zahteva u e-bus sistemima.</t>
  </si>
  <si>
    <t>METODOLOŠKE DEFINICIJE v1.0</t>
  </si>
  <si>
    <t>Charge-on-arrival</t>
  </si>
  <si>
    <t>Vozilo počinje da puni efektivnim maksimumom čim uđe u svoj modelovani depot window. Scenario ne rešava port konflikt; on pokazuje nekontrolisani power demand.</t>
  </si>
  <si>
    <t>Even-spread</t>
  </si>
  <si>
    <t>Grid energija svakog vozila ravnomerno se raspoređuje kroz ceo charging window. Ovo nije cost-optimal niti grid-optimal schedule.</t>
  </si>
  <si>
    <t>Screening capacity + reserve</t>
  </si>
  <si>
    <t>Even-spread peak ukupnog objekta pomnožen sa korisnički unetom screening rezervom. Ne predstavlja odobrenu, projektnu ili preporučenu priključnu snagu.</t>
  </si>
  <si>
    <t>Window feasible</t>
  </si>
  <si>
    <t>Proverava da li vozilo individualno može da primi potrebnu energiju unutar charging window-a pri efektivnoj max snazi. Ne rešava zajednički grid/port scheduling.</t>
  </si>
  <si>
    <t>Port check</t>
  </si>
  <si>
    <t>Poredi najveći broj vozila koja su istovremeno unutar modelovanog charging window-a sa brojem portova. Konzervativno za even-spread scenario; pravi optimizer može rotirati portove.</t>
  </si>
  <si>
    <t>DISCLAIMER</t>
  </si>
  <si>
    <t>Ovaj workbook je edukativni i preliminarni screening alat. Ne koristi se kao zamena za elektroenergetsku studiju, projekat priključenja, DSO saglasnost, zaštitne proračune, selektivnost, kratki spoj, kvalitet električne energije, transformator/kabl dimensioning ili profesionalni CSMS/EMS optimization. Pre investicione odluke obavezno proveriti stvarne tehničke uslove, tarife, charger/vehicle karakteristike i operativne podatke.</t>
  </si>
  <si>
    <t>BALKAN FLEET  |  E-DEPOT POWER CALCULATOR v1.1</t>
  </si>
  <si>
    <t>EXCEL KOMPATIBILNOST</t>
  </si>
  <si>
    <t>v1.1</t>
  </si>
  <si>
    <t>Stabilnije formule</t>
  </si>
  <si>
    <t>Load Profile koristi SUMIFS/COUNTIFS umesto array SUMPRODUCT izraza, radi stabilnog recalculation-a nakon Enable Editing u desktop Excelu.</t>
  </si>
  <si>
    <t>Verzija 1.1 • 17.08.2026 • Balkan Fleet • Excel recalculation compatibility 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</si>
</sst>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&quot;kWh&quot;"/>
    <numFmt numFmtId="165" formatCode="0.0\ &quot;kW&quot;"/>
    <numFmt numFmtId="166" formatCode="0.0%"/>
    <numFmt numFmtId="167" formatCode="0.0"/>
  </numFmts>
  <fonts count="20">
    <font>
      <sz val="11"/>
      <name val="Carlito"/>
    </font>
    <font>
      <b/>
      <sz val="20"/>
      <color rgb="FFFFFFFF"/>
      <name val="Aptos"/>
    </font>
    <font>
      <sz val="11"/>
      <name val="Aptos"/>
    </font>
    <font>
      <sz val="10"/>
      <color rgb="FFFFFFFF"/>
      <name val="Aptos"/>
    </font>
    <font>
      <b/>
      <sz val="9"/>
      <color rgb="FFFFFFFF"/>
      <name val="Aptos"/>
    </font>
    <font>
      <b/>
      <sz val="18"/>
      <color rgb="FF1D2939"/>
      <name val="Aptos"/>
    </font>
    <font>
      <b/>
      <sz val="12"/>
      <color rgb="FF1D2939"/>
      <name val="Aptos"/>
    </font>
    <font>
      <b/>
      <sz val="11"/>
      <color rgb="FFFFFFFF"/>
      <name val="Aptos"/>
    </font>
    <font>
      <sz val="11"/>
      <color rgb="FF1D2939"/>
      <name val="Aptos"/>
    </font>
    <font>
      <b/>
      <sz val="11"/>
      <color rgb="FF1D2939"/>
      <name val="Aptos"/>
    </font>
    <font>
      <sz val="9"/>
      <color rgb="FF475467"/>
      <name val="Aptos"/>
    </font>
    <font>
      <i/>
      <sz val="8"/>
      <color rgb="FF475467"/>
      <name val="Aptos"/>
    </font>
    <font>
      <b/>
      <sz val="14"/>
      <color rgb="FF2E8B57"/>
      <name val="Aptos"/>
    </font>
    <font>
      <b/>
      <sz val="11"/>
      <color rgb="FF173A5E"/>
      <name val="Aptos"/>
    </font>
    <font>
      <b/>
      <sz val="11"/>
      <color rgb="FF2E8B57"/>
      <name val="Aptos"/>
    </font>
    <font>
      <b/>
      <sz val="11"/>
      <color rgb="FFB7791F"/>
      <name val="Aptos"/>
    </font>
    <font>
      <b/>
      <sz val="11"/>
      <color rgb="FFB42318"/>
      <name val="Aptos"/>
    </font>
    <font>
      <sz val="11"/>
      <color rgb="FF475467"/>
      <name val="Aptos"/>
    </font>
    <font>
      <i/>
      <sz val="9"/>
      <color rgb="FF475467"/>
      <name val="Aptos"/>
    </font>
    <font>
      <sz val="11"/>
      <color rgb="FF173A5E"/>
      <name val="Aptos"/>
    </font>
  </fonts>
  <fills count="13">
    <fill>
      <patternFill patternType="none"/>
    </fill>
    <fill>
      <patternFill patternType="gray125"/>
    </fill>
    <fill>
      <patternFill patternType="solid">
        <fgColor rgb="FF173A5E"/>
      </patternFill>
    </fill>
    <fill>
      <patternFill patternType="solid">
        <fgColor rgb="FF244F78"/>
      </patternFill>
    </fill>
    <fill>
      <patternFill patternType="solid">
        <fgColor rgb="FFFFFFFF"/>
      </patternFill>
    </fill>
    <fill>
      <patternFill patternType="solid">
        <fgColor rgb="FFE8F5EE"/>
      </patternFill>
    </fill>
    <fill>
      <patternFill patternType="solid">
        <fgColor rgb="FFF2F4F7"/>
      </patternFill>
    </fill>
    <fill>
      <patternFill patternType="solid">
        <fgColor rgb="FFE8F3F7"/>
      </patternFill>
    </fill>
    <fill>
      <patternFill patternType="solid">
        <fgColor rgb="FFFFF3CD"/>
      </patternFill>
    </fill>
    <fill>
      <patternFill patternType="solid">
        <fgColor rgb="FFFFF4D6"/>
      </patternFill>
    </fill>
    <fill>
      <patternFill patternType="solid">
        <fgColor rgb="FFFDECEC"/>
      </patternFill>
    </fill>
    <fill>
      <patternFill patternType="solid">
        <fgColor rgb="FFEAF2F8"/>
      </patternFill>
    </fill>
    <fill>
      <patternFill patternType="solid">
        <fgColor rgb="FF1F4E78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165" fontId="9" fillId="4" borderId="10" xfId="0" applyNumberFormat="1" applyFont="1" applyFill="1" applyBorder="1" applyAlignment="1">
      <alignment horizontal="right"/>
    </xf>
    <xf numFmtId="1" fontId="9" fillId="4" borderId="10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4" fontId="9" fillId="4" borderId="10" xfId="0" applyNumberFormat="1" applyFont="1" applyFill="1" applyBorder="1" applyAlignment="1">
      <alignment horizontal="right"/>
    </xf>
    <xf numFmtId="0" fontId="12" fillId="5" borderId="13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vertical="center"/>
    </xf>
    <xf numFmtId="0" fontId="12" fillId="5" borderId="14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vertical="center"/>
    </xf>
    <xf numFmtId="0" fontId="12" fillId="5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8" borderId="10" xfId="0" applyFont="1" applyFill="1" applyBorder="1" applyAlignment="1">
      <alignment vertical="center"/>
    </xf>
    <xf numFmtId="0" fontId="8" fillId="4" borderId="13" xfId="0" applyFont="1" applyFill="1" applyBorder="1" applyAlignment="1">
      <alignment vertical="center"/>
    </xf>
    <xf numFmtId="0" fontId="9" fillId="6" borderId="10" xfId="0" applyFont="1" applyFill="1" applyBorder="1" applyAlignment="1">
      <alignment vertical="center"/>
    </xf>
    <xf numFmtId="0" fontId="8" fillId="4" borderId="14" xfId="0" applyFont="1" applyFill="1" applyBorder="1" applyAlignment="1">
      <alignment vertical="center"/>
    </xf>
    <xf numFmtId="0" fontId="14" fillId="5" borderId="10" xfId="0" applyFont="1" applyFill="1" applyBorder="1" applyAlignment="1">
      <alignment vertical="center"/>
    </xf>
    <xf numFmtId="0" fontId="15" fillId="9" borderId="10" xfId="0" applyFont="1" applyFill="1" applyBorder="1" applyAlignment="1">
      <alignment vertical="center"/>
    </xf>
    <xf numFmtId="0" fontId="16" fillId="10" borderId="10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17" fillId="4" borderId="13" xfId="0" applyFont="1" applyFill="1" applyBorder="1" applyAlignment="1">
      <alignment wrapText="1"/>
    </xf>
    <xf numFmtId="0" fontId="17" fillId="4" borderId="14" xfId="0" applyFont="1" applyFill="1" applyBorder="1" applyAlignment="1">
      <alignment wrapText="1"/>
    </xf>
    <xf numFmtId="0" fontId="17" fillId="4" borderId="15" xfId="0" applyFont="1" applyFill="1" applyBorder="1" applyAlignment="1">
      <alignment wrapText="1"/>
    </xf>
    <xf numFmtId="0" fontId="8" fillId="8" borderId="1" xfId="0" applyFont="1" applyFill="1" applyBorder="1"/>
    <xf numFmtId="167" fontId="8" fillId="8" borderId="2" xfId="0" applyNumberFormat="1" applyFont="1" applyFill="1" applyBorder="1"/>
    <xf numFmtId="20" fontId="8" fillId="8" borderId="2" xfId="0" applyNumberFormat="1" applyFont="1" applyFill="1" applyBorder="1"/>
    <xf numFmtId="20" fontId="8" fillId="8" borderId="3" xfId="0" applyNumberFormat="1" applyFont="1" applyFill="1" applyBorder="1"/>
    <xf numFmtId="2" fontId="8" fillId="6" borderId="1" xfId="0" applyNumberFormat="1" applyFont="1" applyFill="1" applyBorder="1"/>
    <xf numFmtId="2" fontId="8" fillId="6" borderId="2" xfId="0" applyNumberFormat="1" applyFont="1" applyFill="1" applyBorder="1"/>
    <xf numFmtId="0" fontId="8" fillId="6" borderId="2" xfId="0" applyFont="1" applyFill="1" applyBorder="1"/>
    <xf numFmtId="2" fontId="8" fillId="6" borderId="3" xfId="0" applyNumberFormat="1" applyFont="1" applyFill="1" applyBorder="1"/>
    <xf numFmtId="0" fontId="8" fillId="8" borderId="11" xfId="0" applyFont="1" applyFill="1" applyBorder="1"/>
    <xf numFmtId="167" fontId="8" fillId="8" borderId="0" xfId="0" applyNumberFormat="1" applyFont="1" applyFill="1"/>
    <xf numFmtId="20" fontId="8" fillId="8" borderId="0" xfId="0" applyNumberFormat="1" applyFont="1" applyFill="1"/>
    <xf numFmtId="20" fontId="8" fillId="8" borderId="12" xfId="0" applyNumberFormat="1" applyFont="1" applyFill="1" applyBorder="1"/>
    <xf numFmtId="2" fontId="8" fillId="6" borderId="11" xfId="0" applyNumberFormat="1" applyFont="1" applyFill="1" applyBorder="1"/>
    <xf numFmtId="2" fontId="8" fillId="6" borderId="0" xfId="0" applyNumberFormat="1" applyFont="1" applyFill="1"/>
    <xf numFmtId="0" fontId="8" fillId="6" borderId="0" xfId="0" applyFont="1" applyFill="1"/>
    <xf numFmtId="2" fontId="8" fillId="6" borderId="12" xfId="0" applyNumberFormat="1" applyFont="1" applyFill="1" applyBorder="1"/>
    <xf numFmtId="0" fontId="8" fillId="8" borderId="4" xfId="0" applyFont="1" applyFill="1" applyBorder="1"/>
    <xf numFmtId="167" fontId="8" fillId="8" borderId="5" xfId="0" applyNumberFormat="1" applyFont="1" applyFill="1" applyBorder="1"/>
    <xf numFmtId="20" fontId="8" fillId="8" borderId="5" xfId="0" applyNumberFormat="1" applyFont="1" applyFill="1" applyBorder="1"/>
    <xf numFmtId="20" fontId="8" fillId="8" borderId="6" xfId="0" applyNumberFormat="1" applyFont="1" applyFill="1" applyBorder="1"/>
    <xf numFmtId="2" fontId="8" fillId="6" borderId="4" xfId="0" applyNumberFormat="1" applyFont="1" applyFill="1" applyBorder="1"/>
    <xf numFmtId="2" fontId="8" fillId="6" borderId="5" xfId="0" applyNumberFormat="1" applyFont="1" applyFill="1" applyBorder="1"/>
    <xf numFmtId="0" fontId="8" fillId="6" borderId="5" xfId="0" applyFont="1" applyFill="1" applyBorder="1"/>
    <xf numFmtId="2" fontId="8" fillId="6" borderId="6" xfId="0" applyNumberFormat="1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20" fontId="8" fillId="4" borderId="3" xfId="0" applyNumberFormat="1" applyFont="1" applyFill="1" applyBorder="1"/>
    <xf numFmtId="167" fontId="8" fillId="6" borderId="1" xfId="0" applyNumberFormat="1" applyFont="1" applyFill="1" applyBorder="1"/>
    <xf numFmtId="167" fontId="8" fillId="6" borderId="2" xfId="0" applyNumberFormat="1" applyFont="1" applyFill="1" applyBorder="1"/>
    <xf numFmtId="1" fontId="8" fillId="6" borderId="3" xfId="0" applyNumberFormat="1" applyFont="1" applyFill="1" applyBorder="1"/>
    <xf numFmtId="0" fontId="8" fillId="4" borderId="11" xfId="0" applyFont="1" applyFill="1" applyBorder="1"/>
    <xf numFmtId="0" fontId="8" fillId="4" borderId="0" xfId="0" applyFont="1" applyFill="1"/>
    <xf numFmtId="20" fontId="8" fillId="4" borderId="12" xfId="0" applyNumberFormat="1" applyFont="1" applyFill="1" applyBorder="1"/>
    <xf numFmtId="167" fontId="8" fillId="6" borderId="11" xfId="0" applyNumberFormat="1" applyFont="1" applyFill="1" applyBorder="1"/>
    <xf numFmtId="167" fontId="8" fillId="6" borderId="0" xfId="0" applyNumberFormat="1" applyFont="1" applyFill="1"/>
    <xf numFmtId="1" fontId="8" fillId="6" borderId="12" xfId="0" applyNumberFormat="1" applyFont="1" applyFill="1" applyBorder="1"/>
    <xf numFmtId="0" fontId="8" fillId="4" borderId="4" xfId="0" applyFont="1" applyFill="1" applyBorder="1"/>
    <xf numFmtId="0" fontId="8" fillId="4" borderId="5" xfId="0" applyFont="1" applyFill="1" applyBorder="1"/>
    <xf numFmtId="20" fontId="8" fillId="4" borderId="6" xfId="0" applyNumberFormat="1" applyFont="1" applyFill="1" applyBorder="1"/>
    <xf numFmtId="167" fontId="8" fillId="6" borderId="4" xfId="0" applyNumberFormat="1" applyFont="1" applyFill="1" applyBorder="1"/>
    <xf numFmtId="167" fontId="8" fillId="6" borderId="5" xfId="0" applyNumberFormat="1" applyFont="1" applyFill="1" applyBorder="1"/>
    <xf numFmtId="1" fontId="8" fillId="6" borderId="6" xfId="0" applyNumberFormat="1" applyFont="1" applyFill="1" applyBorder="1"/>
    <xf numFmtId="0" fontId="9" fillId="6" borderId="13" xfId="0" applyFont="1" applyFill="1" applyBorder="1" applyAlignment="1">
      <alignment vertical="center" wrapText="1"/>
    </xf>
    <xf numFmtId="0" fontId="19" fillId="11" borderId="13" xfId="0" applyFont="1" applyFill="1" applyBorder="1" applyAlignment="1">
      <alignment vertical="center" wrapText="1"/>
    </xf>
    <xf numFmtId="0" fontId="17" fillId="4" borderId="13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19" fillId="11" borderId="14" xfId="0" applyFont="1" applyFill="1" applyBorder="1" applyAlignment="1">
      <alignment vertical="center" wrapText="1"/>
    </xf>
    <xf numFmtId="0" fontId="17" fillId="4" borderId="14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vertical="center" wrapText="1"/>
    </xf>
    <xf numFmtId="0" fontId="19" fillId="11" borderId="15" xfId="0" applyFont="1" applyFill="1" applyBorder="1" applyAlignment="1">
      <alignment vertical="center" wrapText="1"/>
    </xf>
    <xf numFmtId="0" fontId="17" fillId="4" borderId="15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8" fillId="8" borderId="13" xfId="0" applyNumberFormat="1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 vertical="center"/>
    </xf>
    <xf numFmtId="166" fontId="8" fillId="8" borderId="14" xfId="0" applyNumberFormat="1" applyFont="1" applyFill="1" applyBorder="1" applyAlignment="1">
      <alignment vertical="center"/>
    </xf>
    <xf numFmtId="0" fontId="17" fillId="4" borderId="14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vertical="center"/>
    </xf>
    <xf numFmtId="20" fontId="8" fillId="8" borderId="14" xfId="0" applyNumberFormat="1" applyFont="1" applyFill="1" applyBorder="1" applyAlignment="1">
      <alignment vertical="center"/>
    </xf>
    <xf numFmtId="166" fontId="8" fillId="8" borderId="15" xfId="0" applyNumberFormat="1" applyFont="1" applyFill="1" applyBorder="1" applyAlignment="1">
      <alignment vertical="center"/>
    </xf>
    <xf numFmtId="0" fontId="8" fillId="6" borderId="10" xfId="0" applyFont="1" applyFill="1" applyBorder="1" applyAlignment="1">
      <alignment vertical="center"/>
    </xf>
    <xf numFmtId="0" fontId="17" fillId="4" borderId="1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1" fontId="5" fillId="4" borderId="5" xfId="0" applyNumberFormat="1" applyFont="1" applyFill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6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4" borderId="2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2" xfId="0" applyNumberFormat="1" applyFont="1" applyFill="1" applyBorder="1" applyAlignment="1">
      <alignment horizontal="center" vertical="center"/>
    </xf>
    <xf numFmtId="166" fontId="5" fillId="4" borderId="3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4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9" xfId="0" applyFont="1" applyFill="1" applyBorder="1"/>
    <xf numFmtId="0" fontId="11" fillId="6" borderId="0" xfId="0" applyFont="1" applyFill="1" applyAlignment="1">
      <alignment horizontal="center"/>
    </xf>
    <xf numFmtId="0" fontId="10" fillId="7" borderId="1" xfId="0" applyFont="1" applyFill="1" applyBorder="1" applyAlignment="1">
      <alignment vertical="top" wrapText="1"/>
    </xf>
    <xf numFmtId="0" fontId="10" fillId="7" borderId="2" xfId="0" applyFont="1" applyFill="1" applyBorder="1" applyAlignment="1">
      <alignment vertical="top" wrapText="1"/>
    </xf>
    <xf numFmtId="0" fontId="10" fillId="7" borderId="3" xfId="0" applyFont="1" applyFill="1" applyBorder="1" applyAlignment="1">
      <alignment vertical="top" wrapText="1"/>
    </xf>
    <xf numFmtId="0" fontId="10" fillId="7" borderId="11" xfId="0" applyFont="1" applyFill="1" applyBorder="1" applyAlignment="1">
      <alignment vertical="top" wrapText="1"/>
    </xf>
    <xf numFmtId="0" fontId="10" fillId="7" borderId="0" xfId="0" applyFont="1" applyFill="1" applyAlignment="1">
      <alignment vertical="top" wrapText="1"/>
    </xf>
    <xf numFmtId="0" fontId="10" fillId="7" borderId="12" xfId="0" applyFont="1" applyFill="1" applyBorder="1" applyAlignment="1">
      <alignment vertical="top" wrapText="1"/>
    </xf>
    <xf numFmtId="0" fontId="10" fillId="7" borderId="4" xfId="0" applyFont="1" applyFill="1" applyBorder="1" applyAlignment="1">
      <alignment vertical="top" wrapText="1"/>
    </xf>
    <xf numFmtId="0" fontId="10" fillId="7" borderId="5" xfId="0" applyFont="1" applyFill="1" applyBorder="1" applyAlignment="1">
      <alignment vertical="top" wrapText="1"/>
    </xf>
    <xf numFmtId="0" fontId="10" fillId="7" borderId="6" xfId="0" applyFont="1" applyFill="1" applyBorder="1" applyAlignment="1">
      <alignment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vertical="center" wrapText="1"/>
    </xf>
    <xf numFmtId="0" fontId="17" fillId="7" borderId="2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11" xfId="0" applyFont="1" applyFill="1" applyBorder="1" applyAlignment="1">
      <alignment vertical="center" wrapText="1"/>
    </xf>
    <xf numFmtId="0" fontId="17" fillId="7" borderId="0" xfId="0" applyFont="1" applyFill="1" applyAlignment="1">
      <alignment vertical="center" wrapText="1"/>
    </xf>
    <xf numFmtId="0" fontId="17" fillId="7" borderId="12" xfId="0" applyFont="1" applyFill="1" applyBorder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7" fillId="7" borderId="5" xfId="0" applyFont="1" applyFill="1" applyBorder="1" applyAlignment="1">
      <alignment vertical="center" wrapText="1"/>
    </xf>
    <xf numFmtId="0" fontId="17" fillId="7" borderId="6" xfId="0" applyFont="1" applyFill="1" applyBorder="1" applyAlignment="1">
      <alignment vertical="center" wrapText="1"/>
    </xf>
    <xf numFmtId="0" fontId="18" fillId="6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10" borderId="1" xfId="0" applyFont="1" applyFill="1" applyBorder="1" applyAlignment="1">
      <alignment vertical="center" wrapText="1"/>
    </xf>
    <xf numFmtId="0" fontId="8" fillId="10" borderId="2" xfId="0" applyFont="1" applyFill="1" applyBorder="1" applyAlignment="1">
      <alignment vertical="center" wrapText="1"/>
    </xf>
    <xf numFmtId="0" fontId="8" fillId="10" borderId="3" xfId="0" applyFont="1" applyFill="1" applyBorder="1" applyAlignment="1">
      <alignment vertical="center" wrapText="1"/>
    </xf>
    <xf numFmtId="0" fontId="8" fillId="10" borderId="11" xfId="0" applyFont="1" applyFill="1" applyBorder="1" applyAlignment="1">
      <alignment vertical="center" wrapText="1"/>
    </xf>
    <xf numFmtId="0" fontId="8" fillId="10" borderId="0" xfId="0" applyFont="1" applyFill="1" applyAlignment="1">
      <alignment vertical="center" wrapText="1"/>
    </xf>
    <xf numFmtId="0" fontId="8" fillId="10" borderId="12" xfId="0" applyFont="1" applyFill="1" applyBorder="1" applyAlignment="1">
      <alignment vertical="center" wrapText="1"/>
    </xf>
    <xf numFmtId="0" fontId="8" fillId="10" borderId="4" xfId="0" applyFont="1" applyFill="1" applyBorder="1" applyAlignment="1">
      <alignment vertical="center" wrapText="1"/>
    </xf>
    <xf numFmtId="0" fontId="8" fillId="10" borderId="5" xfId="0" applyFont="1" applyFill="1" applyBorder="1" applyAlignment="1">
      <alignment vertical="center" wrapText="1"/>
    </xf>
    <xf numFmtId="0" fontId="8" fillId="10" borderId="6" xfId="0" applyFont="1" applyFill="1" applyBorder="1" applyAlignment="1">
      <alignment vertical="center" wrapText="1"/>
    </xf>
  </cellXfs>
  <cellStyles count="1">
    <cellStyle name="Normal" xfId="0" builtinId="0"/>
  </cellStyles>
  <dxfs count="8">
    <dxf>
      <font>
        <b/>
        <color rgb="FFB42318"/>
      </font>
      <fill>
        <patternFill>
          <bgColor rgb="FFFDECEC"/>
        </patternFill>
      </fill>
    </dxf>
    <dxf>
      <font>
        <b/>
        <color rgb="FFB42318"/>
      </font>
      <fill>
        <patternFill>
          <bgColor rgb="FFFDECEC"/>
        </patternFill>
      </fill>
    </dxf>
    <dxf>
      <font>
        <b/>
        <color rgb="FF2E8B57"/>
      </font>
      <fill>
        <patternFill>
          <bgColor rgb="FFE8F5EE"/>
        </patternFill>
      </fill>
    </dxf>
    <dxf>
      <font>
        <b/>
        <color rgb="FFB42318"/>
      </font>
      <fill>
        <patternFill>
          <bgColor rgb="FFFDECEC"/>
        </patternFill>
      </fill>
    </dxf>
    <dxf>
      <font>
        <color rgb="FFB7791F"/>
      </font>
      <fill>
        <patternFill>
          <bgColor rgb="FFFFF4D6"/>
        </patternFill>
      </fill>
    </dxf>
    <dxf>
      <font>
        <b/>
        <color rgb="FFB42318"/>
      </font>
      <fill>
        <patternFill>
          <bgColor rgb="FFFDECEC"/>
        </patternFill>
      </fill>
    </dxf>
    <dxf>
      <font>
        <b/>
        <color rgb="FFB7791F"/>
      </font>
      <fill>
        <patternFill>
          <bgColor rgb="FFFFF4D6"/>
        </patternFill>
      </fill>
    </dxf>
    <dxf>
      <font>
        <b/>
        <color rgb="FF2E8B57"/>
      </font>
      <fill>
        <patternFill>
          <bgColor rgb="FFE8F5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Charge-on-arrival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Profile'!$G$2:$G$97</c:f>
              <c:numCache>
                <c:formatCode>0.0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220</c:v>
                </c:pt>
                <c:pt idx="25">
                  <c:v>220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460</c:v>
                </c:pt>
                <c:pt idx="30">
                  <c:v>580</c:v>
                </c:pt>
                <c:pt idx="31">
                  <c:v>460</c:v>
                </c:pt>
                <c:pt idx="32">
                  <c:v>460</c:v>
                </c:pt>
                <c:pt idx="33">
                  <c:v>460</c:v>
                </c:pt>
                <c:pt idx="34">
                  <c:v>460</c:v>
                </c:pt>
                <c:pt idx="35">
                  <c:v>340</c:v>
                </c:pt>
                <c:pt idx="36">
                  <c:v>460</c:v>
                </c:pt>
                <c:pt idx="37">
                  <c:v>460</c:v>
                </c:pt>
                <c:pt idx="38">
                  <c:v>580</c:v>
                </c:pt>
                <c:pt idx="39">
                  <c:v>580</c:v>
                </c:pt>
                <c:pt idx="40">
                  <c:v>340</c:v>
                </c:pt>
                <c:pt idx="41">
                  <c:v>460</c:v>
                </c:pt>
                <c:pt idx="42">
                  <c:v>580</c:v>
                </c:pt>
                <c:pt idx="43">
                  <c:v>460</c:v>
                </c:pt>
                <c:pt idx="44">
                  <c:v>340</c:v>
                </c:pt>
                <c:pt idx="45">
                  <c:v>340</c:v>
                </c:pt>
                <c:pt idx="46">
                  <c:v>340</c:v>
                </c:pt>
                <c:pt idx="47">
                  <c:v>340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92A-4B21-B43D-B3F1FE291CCA}"/>
            </c:ext>
          </c:extLst>
        </c:ser>
        <c:ser>
          <c:idx val="1"/>
          <c:order val="1"/>
          <c:tx>
            <c:v>Even-spread screening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Profile'!$H$2:$H$97</c:f>
              <c:numCache>
                <c:formatCode>0.0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116.85106383101277</c:v>
                </c:pt>
                <c:pt idx="25">
                  <c:v>116.85106383101277</c:v>
                </c:pt>
                <c:pt idx="26">
                  <c:v>132.47204354286364</c:v>
                </c:pt>
                <c:pt idx="27">
                  <c:v>132.47204354286364</c:v>
                </c:pt>
                <c:pt idx="28">
                  <c:v>132.47204354286364</c:v>
                </c:pt>
                <c:pt idx="29">
                  <c:v>152.26535661277245</c:v>
                </c:pt>
                <c:pt idx="30">
                  <c:v>166.6275776829126</c:v>
                </c:pt>
                <c:pt idx="31">
                  <c:v>166.6275776829126</c:v>
                </c:pt>
                <c:pt idx="32">
                  <c:v>189.75098193638189</c:v>
                </c:pt>
                <c:pt idx="33">
                  <c:v>189.75098193638189</c:v>
                </c:pt>
                <c:pt idx="34">
                  <c:v>189.75098193638189</c:v>
                </c:pt>
                <c:pt idx="35">
                  <c:v>208.07231308750028</c:v>
                </c:pt>
                <c:pt idx="36">
                  <c:v>229.2038920366482</c:v>
                </c:pt>
                <c:pt idx="37">
                  <c:v>229.2038920366482</c:v>
                </c:pt>
                <c:pt idx="38">
                  <c:v>246.66220140834128</c:v>
                </c:pt>
                <c:pt idx="39">
                  <c:v>246.66220140834128</c:v>
                </c:pt>
                <c:pt idx="40">
                  <c:v>246.66220140834128</c:v>
                </c:pt>
                <c:pt idx="41">
                  <c:v>271.04163403245474</c:v>
                </c:pt>
                <c:pt idx="42">
                  <c:v>288.82886807663419</c:v>
                </c:pt>
                <c:pt idx="43">
                  <c:v>288.82886807663419</c:v>
                </c:pt>
                <c:pt idx="44">
                  <c:v>288.82886807663419</c:v>
                </c:pt>
                <c:pt idx="45">
                  <c:v>288.82886807663419</c:v>
                </c:pt>
                <c:pt idx="46">
                  <c:v>288.82886807663419</c:v>
                </c:pt>
                <c:pt idx="47">
                  <c:v>288.82886807663419</c:v>
                </c:pt>
                <c:pt idx="48">
                  <c:v>288.82886807663419</c:v>
                </c:pt>
                <c:pt idx="49">
                  <c:v>288.82886807663419</c:v>
                </c:pt>
                <c:pt idx="50">
                  <c:v>288.82886807663419</c:v>
                </c:pt>
                <c:pt idx="51">
                  <c:v>288.82886807663419</c:v>
                </c:pt>
                <c:pt idx="52">
                  <c:v>288.82886807663419</c:v>
                </c:pt>
                <c:pt idx="53">
                  <c:v>288.82886807663419</c:v>
                </c:pt>
                <c:pt idx="54">
                  <c:v>288.82886807663419</c:v>
                </c:pt>
                <c:pt idx="55">
                  <c:v>288.82886807663419</c:v>
                </c:pt>
                <c:pt idx="56">
                  <c:v>288.82886807663419</c:v>
                </c:pt>
                <c:pt idx="57">
                  <c:v>288.82886807663419</c:v>
                </c:pt>
                <c:pt idx="58">
                  <c:v>288.82886807663419</c:v>
                </c:pt>
                <c:pt idx="59">
                  <c:v>288.82886807663419</c:v>
                </c:pt>
                <c:pt idx="60">
                  <c:v>288.82886807663419</c:v>
                </c:pt>
                <c:pt idx="61">
                  <c:v>288.82886807663419</c:v>
                </c:pt>
                <c:pt idx="62">
                  <c:v>288.82886807663419</c:v>
                </c:pt>
                <c:pt idx="63">
                  <c:v>288.82886807663419</c:v>
                </c:pt>
                <c:pt idx="64">
                  <c:v>288.82886807663419</c:v>
                </c:pt>
                <c:pt idx="65">
                  <c:v>288.82886807663419</c:v>
                </c:pt>
                <c:pt idx="66">
                  <c:v>288.82886807663419</c:v>
                </c:pt>
                <c:pt idx="67">
                  <c:v>288.82886807663419</c:v>
                </c:pt>
                <c:pt idx="68">
                  <c:v>271.97780424562148</c:v>
                </c:pt>
                <c:pt idx="69">
                  <c:v>256.35682453377058</c:v>
                </c:pt>
                <c:pt idx="70">
                  <c:v>256.35682453377058</c:v>
                </c:pt>
                <c:pt idx="71">
                  <c:v>222.20129039372159</c:v>
                </c:pt>
                <c:pt idx="72">
                  <c:v>199.07788614025233</c:v>
                </c:pt>
                <c:pt idx="73">
                  <c:v>199.07788614025233</c:v>
                </c:pt>
                <c:pt idx="74">
                  <c:v>159.62497603998602</c:v>
                </c:pt>
                <c:pt idx="75">
                  <c:v>142.16666666829292</c:v>
                </c:pt>
                <c:pt idx="76">
                  <c:v>142.16666666829292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92A-4B21-B43D-B3F1FE291CCA}"/>
            </c:ext>
          </c:extLst>
        </c:ser>
        <c:ser>
          <c:idx val="2"/>
          <c:order val="2"/>
          <c:tx>
            <c:v>Grid limit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Profile'!$I$2:$I$97</c:f>
              <c:numCache>
                <c:formatCode>0.0</c:formatCode>
                <c:ptCount val="96"/>
                <c:pt idx="0">
                  <c:v>1600</c:v>
                </c:pt>
                <c:pt idx="1">
                  <c:v>1600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  <c:pt idx="5">
                  <c:v>1600</c:v>
                </c:pt>
                <c:pt idx="6">
                  <c:v>1600</c:v>
                </c:pt>
                <c:pt idx="7">
                  <c:v>1600</c:v>
                </c:pt>
                <c:pt idx="8">
                  <c:v>1600</c:v>
                </c:pt>
                <c:pt idx="9">
                  <c:v>1600</c:v>
                </c:pt>
                <c:pt idx="10">
                  <c:v>1600</c:v>
                </c:pt>
                <c:pt idx="11">
                  <c:v>1600</c:v>
                </c:pt>
                <c:pt idx="12">
                  <c:v>1600</c:v>
                </c:pt>
                <c:pt idx="13">
                  <c:v>1600</c:v>
                </c:pt>
                <c:pt idx="14">
                  <c:v>1600</c:v>
                </c:pt>
                <c:pt idx="15">
                  <c:v>1600</c:v>
                </c:pt>
                <c:pt idx="16">
                  <c:v>1600</c:v>
                </c:pt>
                <c:pt idx="17">
                  <c:v>1600</c:v>
                </c:pt>
                <c:pt idx="18">
                  <c:v>1600</c:v>
                </c:pt>
                <c:pt idx="19">
                  <c:v>1600</c:v>
                </c:pt>
                <c:pt idx="20">
                  <c:v>1600</c:v>
                </c:pt>
                <c:pt idx="21">
                  <c:v>1600</c:v>
                </c:pt>
                <c:pt idx="22">
                  <c:v>1600</c:v>
                </c:pt>
                <c:pt idx="23">
                  <c:v>1600</c:v>
                </c:pt>
                <c:pt idx="24">
                  <c:v>1600</c:v>
                </c:pt>
                <c:pt idx="25">
                  <c:v>1600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1600</c:v>
                </c:pt>
                <c:pt idx="30">
                  <c:v>1600</c:v>
                </c:pt>
                <c:pt idx="31">
                  <c:v>1600</c:v>
                </c:pt>
                <c:pt idx="32">
                  <c:v>1600</c:v>
                </c:pt>
                <c:pt idx="33">
                  <c:v>1600</c:v>
                </c:pt>
                <c:pt idx="34">
                  <c:v>1600</c:v>
                </c:pt>
                <c:pt idx="35">
                  <c:v>1600</c:v>
                </c:pt>
                <c:pt idx="36">
                  <c:v>1600</c:v>
                </c:pt>
                <c:pt idx="37">
                  <c:v>1600</c:v>
                </c:pt>
                <c:pt idx="38">
                  <c:v>1600</c:v>
                </c:pt>
                <c:pt idx="39">
                  <c:v>1600</c:v>
                </c:pt>
                <c:pt idx="40">
                  <c:v>1600</c:v>
                </c:pt>
                <c:pt idx="41">
                  <c:v>1600</c:v>
                </c:pt>
                <c:pt idx="42">
                  <c:v>1600</c:v>
                </c:pt>
                <c:pt idx="43">
                  <c:v>1600</c:v>
                </c:pt>
                <c:pt idx="44">
                  <c:v>1600</c:v>
                </c:pt>
                <c:pt idx="45">
                  <c:v>1600</c:v>
                </c:pt>
                <c:pt idx="46">
                  <c:v>1600</c:v>
                </c:pt>
                <c:pt idx="47">
                  <c:v>1600</c:v>
                </c:pt>
                <c:pt idx="48">
                  <c:v>1600</c:v>
                </c:pt>
                <c:pt idx="49">
                  <c:v>1600</c:v>
                </c:pt>
                <c:pt idx="50">
                  <c:v>1600</c:v>
                </c:pt>
                <c:pt idx="51">
                  <c:v>1600</c:v>
                </c:pt>
                <c:pt idx="52">
                  <c:v>1600</c:v>
                </c:pt>
                <c:pt idx="53">
                  <c:v>1600</c:v>
                </c:pt>
                <c:pt idx="54">
                  <c:v>1600</c:v>
                </c:pt>
                <c:pt idx="55">
                  <c:v>1600</c:v>
                </c:pt>
                <c:pt idx="56">
                  <c:v>1600</c:v>
                </c:pt>
                <c:pt idx="57">
                  <c:v>1600</c:v>
                </c:pt>
                <c:pt idx="58">
                  <c:v>1600</c:v>
                </c:pt>
                <c:pt idx="59">
                  <c:v>1600</c:v>
                </c:pt>
                <c:pt idx="60">
                  <c:v>1600</c:v>
                </c:pt>
                <c:pt idx="61">
                  <c:v>1600</c:v>
                </c:pt>
                <c:pt idx="62">
                  <c:v>1600</c:v>
                </c:pt>
                <c:pt idx="63">
                  <c:v>1600</c:v>
                </c:pt>
                <c:pt idx="64">
                  <c:v>1600</c:v>
                </c:pt>
                <c:pt idx="65">
                  <c:v>1600</c:v>
                </c:pt>
                <c:pt idx="66">
                  <c:v>1600</c:v>
                </c:pt>
                <c:pt idx="67">
                  <c:v>1600</c:v>
                </c:pt>
                <c:pt idx="68">
                  <c:v>1600</c:v>
                </c:pt>
                <c:pt idx="69">
                  <c:v>1600</c:v>
                </c:pt>
                <c:pt idx="70">
                  <c:v>1600</c:v>
                </c:pt>
                <c:pt idx="71">
                  <c:v>1600</c:v>
                </c:pt>
                <c:pt idx="72">
                  <c:v>1600</c:v>
                </c:pt>
                <c:pt idx="73">
                  <c:v>1600</c:v>
                </c:pt>
                <c:pt idx="74">
                  <c:v>1600</c:v>
                </c:pt>
                <c:pt idx="75">
                  <c:v>1600</c:v>
                </c:pt>
                <c:pt idx="76">
                  <c:v>1600</c:v>
                </c:pt>
                <c:pt idx="77">
                  <c:v>1600</c:v>
                </c:pt>
                <c:pt idx="78">
                  <c:v>1600</c:v>
                </c:pt>
                <c:pt idx="79">
                  <c:v>1600</c:v>
                </c:pt>
                <c:pt idx="80">
                  <c:v>1600</c:v>
                </c:pt>
                <c:pt idx="81">
                  <c:v>1600</c:v>
                </c:pt>
                <c:pt idx="82">
                  <c:v>1600</c:v>
                </c:pt>
                <c:pt idx="83">
                  <c:v>1600</c:v>
                </c:pt>
                <c:pt idx="84">
                  <c:v>1600</c:v>
                </c:pt>
                <c:pt idx="85">
                  <c:v>1600</c:v>
                </c:pt>
                <c:pt idx="86">
                  <c:v>1600</c:v>
                </c:pt>
                <c:pt idx="87">
                  <c:v>1600</c:v>
                </c:pt>
                <c:pt idx="88">
                  <c:v>1600</c:v>
                </c:pt>
                <c:pt idx="89">
                  <c:v>1600</c:v>
                </c:pt>
                <c:pt idx="90">
                  <c:v>1600</c:v>
                </c:pt>
                <c:pt idx="91">
                  <c:v>1600</c:v>
                </c:pt>
                <c:pt idx="92">
                  <c:v>1600</c:v>
                </c:pt>
                <c:pt idx="93">
                  <c:v>1600</c:v>
                </c:pt>
                <c:pt idx="94">
                  <c:v>1600</c:v>
                </c:pt>
                <c:pt idx="95">
                  <c:v>1600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92A-4B21-B43D-B3F1FE291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Vreme</a:t>
                </a:r>
              </a:p>
            </c:rich>
          </c:tx>
          <c:overlay val="1"/>
        </c:title>
        <c:numFmt formatCode="hh:mm" sourceLinked="0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Ukupno opterećenje (kW)</a:t>
                </a:r>
              </a:p>
            </c:rich>
          </c:tx>
          <c:overlay val="1"/>
        </c:title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24h Charging Load Profile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Charge-on-arrival bus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Profile'!$D$2:$D$97</c:f>
              <c:numCache>
                <c:formatCode>0.0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120</c:v>
                </c:pt>
                <c:pt idx="25">
                  <c:v>120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360</c:v>
                </c:pt>
                <c:pt idx="30">
                  <c:v>480</c:v>
                </c:pt>
                <c:pt idx="31">
                  <c:v>360</c:v>
                </c:pt>
                <c:pt idx="32">
                  <c:v>360</c:v>
                </c:pt>
                <c:pt idx="33">
                  <c:v>360</c:v>
                </c:pt>
                <c:pt idx="34">
                  <c:v>360</c:v>
                </c:pt>
                <c:pt idx="35">
                  <c:v>240</c:v>
                </c:pt>
                <c:pt idx="36">
                  <c:v>360</c:v>
                </c:pt>
                <c:pt idx="37">
                  <c:v>360</c:v>
                </c:pt>
                <c:pt idx="38">
                  <c:v>480</c:v>
                </c:pt>
                <c:pt idx="39">
                  <c:v>480</c:v>
                </c:pt>
                <c:pt idx="40">
                  <c:v>240</c:v>
                </c:pt>
                <c:pt idx="41">
                  <c:v>360</c:v>
                </c:pt>
                <c:pt idx="42">
                  <c:v>480</c:v>
                </c:pt>
                <c:pt idx="43">
                  <c:v>360</c:v>
                </c:pt>
                <c:pt idx="44">
                  <c:v>240</c:v>
                </c:pt>
                <c:pt idx="45">
                  <c:v>240</c:v>
                </c:pt>
                <c:pt idx="46">
                  <c:v>240</c:v>
                </c:pt>
                <c:pt idx="47">
                  <c:v>240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582-4EA3-AB80-002AD0C338BC}"/>
            </c:ext>
          </c:extLst>
        </c:ser>
        <c:ser>
          <c:idx val="1"/>
          <c:order val="1"/>
          <c:tx>
            <c:v>Even-spread bus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Profile'!$E$2:$E$97</c:f>
              <c:numCache>
                <c:formatCode>0.0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16.851063831012766</c:v>
                </c:pt>
                <c:pt idx="25">
                  <c:v>16.851063831012766</c:v>
                </c:pt>
                <c:pt idx="26">
                  <c:v>32.472043542863638</c:v>
                </c:pt>
                <c:pt idx="27">
                  <c:v>32.472043542863638</c:v>
                </c:pt>
                <c:pt idx="28">
                  <c:v>32.472043542863638</c:v>
                </c:pt>
                <c:pt idx="29">
                  <c:v>52.26535661277245</c:v>
                </c:pt>
                <c:pt idx="30">
                  <c:v>66.627577682912602</c:v>
                </c:pt>
                <c:pt idx="31">
                  <c:v>66.627577682912602</c:v>
                </c:pt>
                <c:pt idx="32">
                  <c:v>89.750981936381891</c:v>
                </c:pt>
                <c:pt idx="33">
                  <c:v>89.750981936381891</c:v>
                </c:pt>
                <c:pt idx="34">
                  <c:v>89.750981936381891</c:v>
                </c:pt>
                <c:pt idx="35">
                  <c:v>108.07231308750028</c:v>
                </c:pt>
                <c:pt idx="36">
                  <c:v>129.2038920366482</c:v>
                </c:pt>
                <c:pt idx="37">
                  <c:v>129.2038920366482</c:v>
                </c:pt>
                <c:pt idx="38">
                  <c:v>146.66220140834128</c:v>
                </c:pt>
                <c:pt idx="39">
                  <c:v>146.66220140834128</c:v>
                </c:pt>
                <c:pt idx="40">
                  <c:v>146.66220140834128</c:v>
                </c:pt>
                <c:pt idx="41">
                  <c:v>171.04163403245474</c:v>
                </c:pt>
                <c:pt idx="42">
                  <c:v>188.82886807663419</c:v>
                </c:pt>
                <c:pt idx="43">
                  <c:v>188.82886807663419</c:v>
                </c:pt>
                <c:pt idx="44">
                  <c:v>188.82886807663419</c:v>
                </c:pt>
                <c:pt idx="45">
                  <c:v>188.82886807663419</c:v>
                </c:pt>
                <c:pt idx="46">
                  <c:v>188.82886807663419</c:v>
                </c:pt>
                <c:pt idx="47">
                  <c:v>188.82886807663419</c:v>
                </c:pt>
                <c:pt idx="48">
                  <c:v>188.82886807663419</c:v>
                </c:pt>
                <c:pt idx="49">
                  <c:v>188.82886807663419</c:v>
                </c:pt>
                <c:pt idx="50">
                  <c:v>188.82886807663419</c:v>
                </c:pt>
                <c:pt idx="51">
                  <c:v>188.82886807663419</c:v>
                </c:pt>
                <c:pt idx="52">
                  <c:v>188.82886807663419</c:v>
                </c:pt>
                <c:pt idx="53">
                  <c:v>188.82886807663419</c:v>
                </c:pt>
                <c:pt idx="54">
                  <c:v>188.82886807663419</c:v>
                </c:pt>
                <c:pt idx="55">
                  <c:v>188.82886807663419</c:v>
                </c:pt>
                <c:pt idx="56">
                  <c:v>188.82886807663419</c:v>
                </c:pt>
                <c:pt idx="57">
                  <c:v>188.82886807663419</c:v>
                </c:pt>
                <c:pt idx="58">
                  <c:v>188.82886807663419</c:v>
                </c:pt>
                <c:pt idx="59">
                  <c:v>188.82886807663419</c:v>
                </c:pt>
                <c:pt idx="60">
                  <c:v>188.82886807663419</c:v>
                </c:pt>
                <c:pt idx="61">
                  <c:v>188.82886807663419</c:v>
                </c:pt>
                <c:pt idx="62">
                  <c:v>188.82886807663419</c:v>
                </c:pt>
                <c:pt idx="63">
                  <c:v>188.82886807663419</c:v>
                </c:pt>
                <c:pt idx="64">
                  <c:v>188.82886807663419</c:v>
                </c:pt>
                <c:pt idx="65">
                  <c:v>188.82886807663419</c:v>
                </c:pt>
                <c:pt idx="66">
                  <c:v>188.82886807663419</c:v>
                </c:pt>
                <c:pt idx="67">
                  <c:v>188.82886807663419</c:v>
                </c:pt>
                <c:pt idx="68">
                  <c:v>171.97780424562148</c:v>
                </c:pt>
                <c:pt idx="69">
                  <c:v>156.35682453377058</c:v>
                </c:pt>
                <c:pt idx="70">
                  <c:v>156.35682453377058</c:v>
                </c:pt>
                <c:pt idx="71">
                  <c:v>122.20129039372161</c:v>
                </c:pt>
                <c:pt idx="72">
                  <c:v>99.077886140252332</c:v>
                </c:pt>
                <c:pt idx="73">
                  <c:v>99.077886140252332</c:v>
                </c:pt>
                <c:pt idx="74">
                  <c:v>59.624976039986024</c:v>
                </c:pt>
                <c:pt idx="75">
                  <c:v>42.166666668292933</c:v>
                </c:pt>
                <c:pt idx="76">
                  <c:v>42.166666668292933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582-4EA3-AB80-002AD0C338BC}"/>
            </c:ext>
          </c:extLst>
        </c:ser>
        <c:ser>
          <c:idx val="2"/>
          <c:order val="2"/>
          <c:tx>
            <c:v>Bazno opterećenje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Profile'!$F$2:$F$97</c:f>
              <c:numCache>
                <c:formatCode>0.0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582-4EA3-AB80-002AD0C338BC}"/>
            </c:ext>
          </c:extLst>
        </c:ser>
        <c:ser>
          <c:idx val="3"/>
          <c:order val="3"/>
          <c:tx>
            <c:v>COA total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Profile'!$G$2:$G$97</c:f>
              <c:numCache>
                <c:formatCode>0.0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220</c:v>
                </c:pt>
                <c:pt idx="25">
                  <c:v>220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460</c:v>
                </c:pt>
                <c:pt idx="30">
                  <c:v>580</c:v>
                </c:pt>
                <c:pt idx="31">
                  <c:v>460</c:v>
                </c:pt>
                <c:pt idx="32">
                  <c:v>460</c:v>
                </c:pt>
                <c:pt idx="33">
                  <c:v>460</c:v>
                </c:pt>
                <c:pt idx="34">
                  <c:v>460</c:v>
                </c:pt>
                <c:pt idx="35">
                  <c:v>340</c:v>
                </c:pt>
                <c:pt idx="36">
                  <c:v>460</c:v>
                </c:pt>
                <c:pt idx="37">
                  <c:v>460</c:v>
                </c:pt>
                <c:pt idx="38">
                  <c:v>580</c:v>
                </c:pt>
                <c:pt idx="39">
                  <c:v>580</c:v>
                </c:pt>
                <c:pt idx="40">
                  <c:v>340</c:v>
                </c:pt>
                <c:pt idx="41">
                  <c:v>460</c:v>
                </c:pt>
                <c:pt idx="42">
                  <c:v>580</c:v>
                </c:pt>
                <c:pt idx="43">
                  <c:v>460</c:v>
                </c:pt>
                <c:pt idx="44">
                  <c:v>340</c:v>
                </c:pt>
                <c:pt idx="45">
                  <c:v>340</c:v>
                </c:pt>
                <c:pt idx="46">
                  <c:v>340</c:v>
                </c:pt>
                <c:pt idx="47">
                  <c:v>340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582-4EA3-AB80-002AD0C338BC}"/>
            </c:ext>
          </c:extLst>
        </c:ser>
        <c:ser>
          <c:idx val="4"/>
          <c:order val="4"/>
          <c:tx>
            <c:v>Even-spread total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Profile'!$H$2:$H$97</c:f>
              <c:numCache>
                <c:formatCode>0.0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116.85106383101277</c:v>
                </c:pt>
                <c:pt idx="25">
                  <c:v>116.85106383101277</c:v>
                </c:pt>
                <c:pt idx="26">
                  <c:v>132.47204354286364</c:v>
                </c:pt>
                <c:pt idx="27">
                  <c:v>132.47204354286364</c:v>
                </c:pt>
                <c:pt idx="28">
                  <c:v>132.47204354286364</c:v>
                </c:pt>
                <c:pt idx="29">
                  <c:v>152.26535661277245</c:v>
                </c:pt>
                <c:pt idx="30">
                  <c:v>166.6275776829126</c:v>
                </c:pt>
                <c:pt idx="31">
                  <c:v>166.6275776829126</c:v>
                </c:pt>
                <c:pt idx="32">
                  <c:v>189.75098193638189</c:v>
                </c:pt>
                <c:pt idx="33">
                  <c:v>189.75098193638189</c:v>
                </c:pt>
                <c:pt idx="34">
                  <c:v>189.75098193638189</c:v>
                </c:pt>
                <c:pt idx="35">
                  <c:v>208.07231308750028</c:v>
                </c:pt>
                <c:pt idx="36">
                  <c:v>229.2038920366482</c:v>
                </c:pt>
                <c:pt idx="37">
                  <c:v>229.2038920366482</c:v>
                </c:pt>
                <c:pt idx="38">
                  <c:v>246.66220140834128</c:v>
                </c:pt>
                <c:pt idx="39">
                  <c:v>246.66220140834128</c:v>
                </c:pt>
                <c:pt idx="40">
                  <c:v>246.66220140834128</c:v>
                </c:pt>
                <c:pt idx="41">
                  <c:v>271.04163403245474</c:v>
                </c:pt>
                <c:pt idx="42">
                  <c:v>288.82886807663419</c:v>
                </c:pt>
                <c:pt idx="43">
                  <c:v>288.82886807663419</c:v>
                </c:pt>
                <c:pt idx="44">
                  <c:v>288.82886807663419</c:v>
                </c:pt>
                <c:pt idx="45">
                  <c:v>288.82886807663419</c:v>
                </c:pt>
                <c:pt idx="46">
                  <c:v>288.82886807663419</c:v>
                </c:pt>
                <c:pt idx="47">
                  <c:v>288.82886807663419</c:v>
                </c:pt>
                <c:pt idx="48">
                  <c:v>288.82886807663419</c:v>
                </c:pt>
                <c:pt idx="49">
                  <c:v>288.82886807663419</c:v>
                </c:pt>
                <c:pt idx="50">
                  <c:v>288.82886807663419</c:v>
                </c:pt>
                <c:pt idx="51">
                  <c:v>288.82886807663419</c:v>
                </c:pt>
                <c:pt idx="52">
                  <c:v>288.82886807663419</c:v>
                </c:pt>
                <c:pt idx="53">
                  <c:v>288.82886807663419</c:v>
                </c:pt>
                <c:pt idx="54">
                  <c:v>288.82886807663419</c:v>
                </c:pt>
                <c:pt idx="55">
                  <c:v>288.82886807663419</c:v>
                </c:pt>
                <c:pt idx="56">
                  <c:v>288.82886807663419</c:v>
                </c:pt>
                <c:pt idx="57">
                  <c:v>288.82886807663419</c:v>
                </c:pt>
                <c:pt idx="58">
                  <c:v>288.82886807663419</c:v>
                </c:pt>
                <c:pt idx="59">
                  <c:v>288.82886807663419</c:v>
                </c:pt>
                <c:pt idx="60">
                  <c:v>288.82886807663419</c:v>
                </c:pt>
                <c:pt idx="61">
                  <c:v>288.82886807663419</c:v>
                </c:pt>
                <c:pt idx="62">
                  <c:v>288.82886807663419</c:v>
                </c:pt>
                <c:pt idx="63">
                  <c:v>288.82886807663419</c:v>
                </c:pt>
                <c:pt idx="64">
                  <c:v>288.82886807663419</c:v>
                </c:pt>
                <c:pt idx="65">
                  <c:v>288.82886807663419</c:v>
                </c:pt>
                <c:pt idx="66">
                  <c:v>288.82886807663419</c:v>
                </c:pt>
                <c:pt idx="67">
                  <c:v>288.82886807663419</c:v>
                </c:pt>
                <c:pt idx="68">
                  <c:v>271.97780424562148</c:v>
                </c:pt>
                <c:pt idx="69">
                  <c:v>256.35682453377058</c:v>
                </c:pt>
                <c:pt idx="70">
                  <c:v>256.35682453377058</c:v>
                </c:pt>
                <c:pt idx="71">
                  <c:v>222.20129039372159</c:v>
                </c:pt>
                <c:pt idx="72">
                  <c:v>199.07788614025233</c:v>
                </c:pt>
                <c:pt idx="73">
                  <c:v>199.07788614025233</c:v>
                </c:pt>
                <c:pt idx="74">
                  <c:v>159.62497603998602</c:v>
                </c:pt>
                <c:pt idx="75">
                  <c:v>142.16666666829292</c:v>
                </c:pt>
                <c:pt idx="76">
                  <c:v>142.16666666829292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582-4EA3-AB80-002AD0C338BC}"/>
            </c:ext>
          </c:extLst>
        </c:ser>
        <c:ser>
          <c:idx val="5"/>
          <c:order val="5"/>
          <c:tx>
            <c:v>Grid limit kW</c:v>
          </c:tx>
          <c:marker>
            <c:symbol val="none"/>
          </c:marker>
          <c:cat>
            <c:numRef>
              <c:f>'Load Profile'!$C$2:$C$97</c:f>
              <c:numCache>
                <c:formatCode>h:mm</c:formatCode>
                <c:ptCount val="96"/>
                <c:pt idx="0">
                  <c:v>0.5</c:v>
                </c:pt>
                <c:pt idx="1">
                  <c:v>0.51041666666666663</c:v>
                </c:pt>
                <c:pt idx="2">
                  <c:v>0.52083333333333337</c:v>
                </c:pt>
                <c:pt idx="3">
                  <c:v>0.53125</c:v>
                </c:pt>
                <c:pt idx="4">
                  <c:v>0.54166666666666663</c:v>
                </c:pt>
                <c:pt idx="5">
                  <c:v>0.55208333333333337</c:v>
                </c:pt>
                <c:pt idx="6">
                  <c:v>0.5625</c:v>
                </c:pt>
                <c:pt idx="7">
                  <c:v>0.57291666666666663</c:v>
                </c:pt>
                <c:pt idx="8">
                  <c:v>0.58333333333333337</c:v>
                </c:pt>
                <c:pt idx="9">
                  <c:v>0.59375</c:v>
                </c:pt>
                <c:pt idx="10">
                  <c:v>0.60416666666666663</c:v>
                </c:pt>
                <c:pt idx="11">
                  <c:v>0.61458333333333337</c:v>
                </c:pt>
                <c:pt idx="12">
                  <c:v>0.625</c:v>
                </c:pt>
                <c:pt idx="13">
                  <c:v>0.63541666666666663</c:v>
                </c:pt>
                <c:pt idx="14">
                  <c:v>0.64583333333333337</c:v>
                </c:pt>
                <c:pt idx="15">
                  <c:v>0.65625</c:v>
                </c:pt>
                <c:pt idx="16">
                  <c:v>0.66666666666666663</c:v>
                </c:pt>
                <c:pt idx="17">
                  <c:v>0.67708333333333337</c:v>
                </c:pt>
                <c:pt idx="18">
                  <c:v>0.6875</c:v>
                </c:pt>
                <c:pt idx="19">
                  <c:v>0.69791666666666663</c:v>
                </c:pt>
                <c:pt idx="20">
                  <c:v>0.70833333333333337</c:v>
                </c:pt>
                <c:pt idx="21">
                  <c:v>0.71875</c:v>
                </c:pt>
                <c:pt idx="22">
                  <c:v>0.72916666666666663</c:v>
                </c:pt>
                <c:pt idx="23">
                  <c:v>0.73958333333333337</c:v>
                </c:pt>
                <c:pt idx="24">
                  <c:v>0.75</c:v>
                </c:pt>
                <c:pt idx="25">
                  <c:v>0.76041666666666674</c:v>
                </c:pt>
                <c:pt idx="26">
                  <c:v>0.77083333333333326</c:v>
                </c:pt>
                <c:pt idx="27">
                  <c:v>0.78125</c:v>
                </c:pt>
                <c:pt idx="28">
                  <c:v>0.79166666666666674</c:v>
                </c:pt>
                <c:pt idx="29">
                  <c:v>0.80208333333333326</c:v>
                </c:pt>
                <c:pt idx="30">
                  <c:v>0.8125</c:v>
                </c:pt>
                <c:pt idx="31">
                  <c:v>0.82291666666666674</c:v>
                </c:pt>
                <c:pt idx="32">
                  <c:v>0.83333333333333326</c:v>
                </c:pt>
                <c:pt idx="33">
                  <c:v>0.84375</c:v>
                </c:pt>
                <c:pt idx="34">
                  <c:v>0.85416666666666674</c:v>
                </c:pt>
                <c:pt idx="35">
                  <c:v>0.86458333333333326</c:v>
                </c:pt>
                <c:pt idx="36">
                  <c:v>0.875</c:v>
                </c:pt>
                <c:pt idx="37">
                  <c:v>0.88541666666666674</c:v>
                </c:pt>
                <c:pt idx="38">
                  <c:v>0.89583333333333326</c:v>
                </c:pt>
                <c:pt idx="39">
                  <c:v>0.90625</c:v>
                </c:pt>
                <c:pt idx="40">
                  <c:v>0.91666666666666674</c:v>
                </c:pt>
                <c:pt idx="41">
                  <c:v>0.92708333333333326</c:v>
                </c:pt>
                <c:pt idx="42">
                  <c:v>0.9375</c:v>
                </c:pt>
                <c:pt idx="43">
                  <c:v>0.94791666666666674</c:v>
                </c:pt>
                <c:pt idx="44">
                  <c:v>0.95833333333333326</c:v>
                </c:pt>
                <c:pt idx="45">
                  <c:v>0.96875</c:v>
                </c:pt>
                <c:pt idx="46">
                  <c:v>0.97916666666666674</c:v>
                </c:pt>
                <c:pt idx="47">
                  <c:v>0.98958333333333326</c:v>
                </c:pt>
                <c:pt idx="48">
                  <c:v>0</c:v>
                </c:pt>
                <c:pt idx="49">
                  <c:v>1.0416666666666519E-2</c:v>
                </c:pt>
                <c:pt idx="50">
                  <c:v>2.0833333333333481E-2</c:v>
                </c:pt>
                <c:pt idx="51">
                  <c:v>3.125E-2</c:v>
                </c:pt>
                <c:pt idx="52">
                  <c:v>4.1666666666666519E-2</c:v>
                </c:pt>
                <c:pt idx="53">
                  <c:v>5.2083333333333481E-2</c:v>
                </c:pt>
                <c:pt idx="54">
                  <c:v>6.25E-2</c:v>
                </c:pt>
                <c:pt idx="55">
                  <c:v>7.2916666666666519E-2</c:v>
                </c:pt>
                <c:pt idx="56">
                  <c:v>8.3333333333333481E-2</c:v>
                </c:pt>
                <c:pt idx="57">
                  <c:v>9.375E-2</c:v>
                </c:pt>
                <c:pt idx="58">
                  <c:v>0.10416666666666652</c:v>
                </c:pt>
                <c:pt idx="59">
                  <c:v>0.11458333333333348</c:v>
                </c:pt>
                <c:pt idx="60">
                  <c:v>0.125</c:v>
                </c:pt>
                <c:pt idx="61">
                  <c:v>0.13541666666666652</c:v>
                </c:pt>
                <c:pt idx="62">
                  <c:v>0.14583333333333348</c:v>
                </c:pt>
                <c:pt idx="63">
                  <c:v>0.15625</c:v>
                </c:pt>
                <c:pt idx="64">
                  <c:v>0.16666666666666652</c:v>
                </c:pt>
                <c:pt idx="65">
                  <c:v>0.17708333333333348</c:v>
                </c:pt>
                <c:pt idx="66">
                  <c:v>0.1875</c:v>
                </c:pt>
                <c:pt idx="67">
                  <c:v>0.19791666666666652</c:v>
                </c:pt>
                <c:pt idx="68">
                  <c:v>0.20833333333333348</c:v>
                </c:pt>
                <c:pt idx="69">
                  <c:v>0.21875</c:v>
                </c:pt>
                <c:pt idx="70">
                  <c:v>0.22916666666666652</c:v>
                </c:pt>
                <c:pt idx="71">
                  <c:v>0.23958333333333348</c:v>
                </c:pt>
                <c:pt idx="72">
                  <c:v>0.25</c:v>
                </c:pt>
                <c:pt idx="73">
                  <c:v>0.26041666666666652</c:v>
                </c:pt>
                <c:pt idx="74">
                  <c:v>0.27083333333333348</c:v>
                </c:pt>
                <c:pt idx="75">
                  <c:v>0.28125</c:v>
                </c:pt>
                <c:pt idx="76">
                  <c:v>0.29166666666666652</c:v>
                </c:pt>
                <c:pt idx="77">
                  <c:v>0.30208333333333348</c:v>
                </c:pt>
                <c:pt idx="78">
                  <c:v>0.3125</c:v>
                </c:pt>
                <c:pt idx="79">
                  <c:v>0.32291666666666652</c:v>
                </c:pt>
                <c:pt idx="80">
                  <c:v>0.33333333333333348</c:v>
                </c:pt>
                <c:pt idx="81">
                  <c:v>0.34375</c:v>
                </c:pt>
                <c:pt idx="82">
                  <c:v>0.35416666666666652</c:v>
                </c:pt>
                <c:pt idx="83">
                  <c:v>0.36458333333333348</c:v>
                </c:pt>
                <c:pt idx="84">
                  <c:v>0.375</c:v>
                </c:pt>
                <c:pt idx="85">
                  <c:v>0.38541666666666652</c:v>
                </c:pt>
                <c:pt idx="86">
                  <c:v>0.39583333333333348</c:v>
                </c:pt>
                <c:pt idx="87">
                  <c:v>0.40625</c:v>
                </c:pt>
                <c:pt idx="88">
                  <c:v>0.41666666666666652</c:v>
                </c:pt>
                <c:pt idx="89">
                  <c:v>0.42708333333333348</c:v>
                </c:pt>
                <c:pt idx="90">
                  <c:v>0.4375</c:v>
                </c:pt>
                <c:pt idx="91">
                  <c:v>0.44791666666666652</c:v>
                </c:pt>
                <c:pt idx="92">
                  <c:v>0.45833333333333348</c:v>
                </c:pt>
                <c:pt idx="93">
                  <c:v>0.46875</c:v>
                </c:pt>
                <c:pt idx="94">
                  <c:v>0.47916666666666652</c:v>
                </c:pt>
                <c:pt idx="95">
                  <c:v>0.48958333333333348</c:v>
                </c:pt>
              </c:numCache>
            </c:numRef>
          </c:cat>
          <c:val>
            <c:numRef>
              <c:f>'Load Profile'!$I$2:$I$97</c:f>
              <c:numCache>
                <c:formatCode>0.0</c:formatCode>
                <c:ptCount val="96"/>
                <c:pt idx="0">
                  <c:v>1600</c:v>
                </c:pt>
                <c:pt idx="1">
                  <c:v>1600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  <c:pt idx="5">
                  <c:v>1600</c:v>
                </c:pt>
                <c:pt idx="6">
                  <c:v>1600</c:v>
                </c:pt>
                <c:pt idx="7">
                  <c:v>1600</c:v>
                </c:pt>
                <c:pt idx="8">
                  <c:v>1600</c:v>
                </c:pt>
                <c:pt idx="9">
                  <c:v>1600</c:v>
                </c:pt>
                <c:pt idx="10">
                  <c:v>1600</c:v>
                </c:pt>
                <c:pt idx="11">
                  <c:v>1600</c:v>
                </c:pt>
                <c:pt idx="12">
                  <c:v>1600</c:v>
                </c:pt>
                <c:pt idx="13">
                  <c:v>1600</c:v>
                </c:pt>
                <c:pt idx="14">
                  <c:v>1600</c:v>
                </c:pt>
                <c:pt idx="15">
                  <c:v>1600</c:v>
                </c:pt>
                <c:pt idx="16">
                  <c:v>1600</c:v>
                </c:pt>
                <c:pt idx="17">
                  <c:v>1600</c:v>
                </c:pt>
                <c:pt idx="18">
                  <c:v>1600</c:v>
                </c:pt>
                <c:pt idx="19">
                  <c:v>1600</c:v>
                </c:pt>
                <c:pt idx="20">
                  <c:v>1600</c:v>
                </c:pt>
                <c:pt idx="21">
                  <c:v>1600</c:v>
                </c:pt>
                <c:pt idx="22">
                  <c:v>1600</c:v>
                </c:pt>
                <c:pt idx="23">
                  <c:v>1600</c:v>
                </c:pt>
                <c:pt idx="24">
                  <c:v>1600</c:v>
                </c:pt>
                <c:pt idx="25">
                  <c:v>1600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1600</c:v>
                </c:pt>
                <c:pt idx="30">
                  <c:v>1600</c:v>
                </c:pt>
                <c:pt idx="31">
                  <c:v>1600</c:v>
                </c:pt>
                <c:pt idx="32">
                  <c:v>1600</c:v>
                </c:pt>
                <c:pt idx="33">
                  <c:v>1600</c:v>
                </c:pt>
                <c:pt idx="34">
                  <c:v>1600</c:v>
                </c:pt>
                <c:pt idx="35">
                  <c:v>1600</c:v>
                </c:pt>
                <c:pt idx="36">
                  <c:v>1600</c:v>
                </c:pt>
                <c:pt idx="37">
                  <c:v>1600</c:v>
                </c:pt>
                <c:pt idx="38">
                  <c:v>1600</c:v>
                </c:pt>
                <c:pt idx="39">
                  <c:v>1600</c:v>
                </c:pt>
                <c:pt idx="40">
                  <c:v>1600</c:v>
                </c:pt>
                <c:pt idx="41">
                  <c:v>1600</c:v>
                </c:pt>
                <c:pt idx="42">
                  <c:v>1600</c:v>
                </c:pt>
                <c:pt idx="43">
                  <c:v>1600</c:v>
                </c:pt>
                <c:pt idx="44">
                  <c:v>1600</c:v>
                </c:pt>
                <c:pt idx="45">
                  <c:v>1600</c:v>
                </c:pt>
                <c:pt idx="46">
                  <c:v>1600</c:v>
                </c:pt>
                <c:pt idx="47">
                  <c:v>1600</c:v>
                </c:pt>
                <c:pt idx="48">
                  <c:v>1600</c:v>
                </c:pt>
                <c:pt idx="49">
                  <c:v>1600</c:v>
                </c:pt>
                <c:pt idx="50">
                  <c:v>1600</c:v>
                </c:pt>
                <c:pt idx="51">
                  <c:v>1600</c:v>
                </c:pt>
                <c:pt idx="52">
                  <c:v>1600</c:v>
                </c:pt>
                <c:pt idx="53">
                  <c:v>1600</c:v>
                </c:pt>
                <c:pt idx="54">
                  <c:v>1600</c:v>
                </c:pt>
                <c:pt idx="55">
                  <c:v>1600</c:v>
                </c:pt>
                <c:pt idx="56">
                  <c:v>1600</c:v>
                </c:pt>
                <c:pt idx="57">
                  <c:v>1600</c:v>
                </c:pt>
                <c:pt idx="58">
                  <c:v>1600</c:v>
                </c:pt>
                <c:pt idx="59">
                  <c:v>1600</c:v>
                </c:pt>
                <c:pt idx="60">
                  <c:v>1600</c:v>
                </c:pt>
                <c:pt idx="61">
                  <c:v>1600</c:v>
                </c:pt>
                <c:pt idx="62">
                  <c:v>1600</c:v>
                </c:pt>
                <c:pt idx="63">
                  <c:v>1600</c:v>
                </c:pt>
                <c:pt idx="64">
                  <c:v>1600</c:v>
                </c:pt>
                <c:pt idx="65">
                  <c:v>1600</c:v>
                </c:pt>
                <c:pt idx="66">
                  <c:v>1600</c:v>
                </c:pt>
                <c:pt idx="67">
                  <c:v>1600</c:v>
                </c:pt>
                <c:pt idx="68">
                  <c:v>1600</c:v>
                </c:pt>
                <c:pt idx="69">
                  <c:v>1600</c:v>
                </c:pt>
                <c:pt idx="70">
                  <c:v>1600</c:v>
                </c:pt>
                <c:pt idx="71">
                  <c:v>1600</c:v>
                </c:pt>
                <c:pt idx="72">
                  <c:v>1600</c:v>
                </c:pt>
                <c:pt idx="73">
                  <c:v>1600</c:v>
                </c:pt>
                <c:pt idx="74">
                  <c:v>1600</c:v>
                </c:pt>
                <c:pt idx="75">
                  <c:v>1600</c:v>
                </c:pt>
                <c:pt idx="76">
                  <c:v>1600</c:v>
                </c:pt>
                <c:pt idx="77">
                  <c:v>1600</c:v>
                </c:pt>
                <c:pt idx="78">
                  <c:v>1600</c:v>
                </c:pt>
                <c:pt idx="79">
                  <c:v>1600</c:v>
                </c:pt>
                <c:pt idx="80">
                  <c:v>1600</c:v>
                </c:pt>
                <c:pt idx="81">
                  <c:v>1600</c:v>
                </c:pt>
                <c:pt idx="82">
                  <c:v>1600</c:v>
                </c:pt>
                <c:pt idx="83">
                  <c:v>1600</c:v>
                </c:pt>
                <c:pt idx="84">
                  <c:v>1600</c:v>
                </c:pt>
                <c:pt idx="85">
                  <c:v>1600</c:v>
                </c:pt>
                <c:pt idx="86">
                  <c:v>1600</c:v>
                </c:pt>
                <c:pt idx="87">
                  <c:v>1600</c:v>
                </c:pt>
                <c:pt idx="88">
                  <c:v>1600</c:v>
                </c:pt>
                <c:pt idx="89">
                  <c:v>1600</c:v>
                </c:pt>
                <c:pt idx="90">
                  <c:v>1600</c:v>
                </c:pt>
                <c:pt idx="91">
                  <c:v>1600</c:v>
                </c:pt>
                <c:pt idx="92">
                  <c:v>1600</c:v>
                </c:pt>
                <c:pt idx="93">
                  <c:v>1600</c:v>
                </c:pt>
                <c:pt idx="94">
                  <c:v>1600</c:v>
                </c:pt>
                <c:pt idx="95">
                  <c:v>1600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582-4EA3-AB80-002AD0C33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h:mm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6858000" cy="3429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A12" sqref="A12:C13"/>
    </sheetView>
  </sheetViews>
  <sheetFormatPr defaultRowHeight="14.4"/>
  <cols>
    <col min="1" max="8" width="15" style="1" customWidth="1"/>
    <col min="9" max="11" width="16" style="1" customWidth="1"/>
    <col min="12" max="12" width="9.5" style="1" customWidth="1"/>
    <col min="13" max="16384" width="8.796875" style="1"/>
  </cols>
  <sheetData>
    <row r="1" spans="1:12" ht="17.850000000000001" customHeight="1">
      <c r="A1" s="97" t="s">
        <v>184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7.850000000000001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3.95" customHeight="1">
      <c r="A3" s="98" t="s">
        <v>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5" spans="1:12">
      <c r="A5" s="99" t="s">
        <v>1</v>
      </c>
      <c r="B5" s="100"/>
      <c r="C5" s="101"/>
      <c r="D5" s="99" t="s">
        <v>2</v>
      </c>
      <c r="E5" s="100"/>
      <c r="F5" s="101"/>
      <c r="G5" s="99" t="s">
        <v>3</v>
      </c>
      <c r="H5" s="100"/>
      <c r="I5" s="101"/>
      <c r="J5" s="99" t="s">
        <v>4</v>
      </c>
      <c r="K5" s="100"/>
      <c r="L5" s="101"/>
    </row>
    <row r="6" spans="1:12">
      <c r="A6" s="102"/>
      <c r="B6" s="103"/>
      <c r="C6" s="104"/>
      <c r="D6" s="102"/>
      <c r="E6" s="103"/>
      <c r="F6" s="104"/>
      <c r="G6" s="102"/>
      <c r="H6" s="103"/>
      <c r="I6" s="104"/>
      <c r="J6" s="102"/>
      <c r="K6" s="103"/>
      <c r="L6" s="104"/>
    </row>
    <row r="7" spans="1:12">
      <c r="A7" s="105">
        <f>COUNTIF(Vehicles!$A$2:$A$51,"&lt;&gt;")</f>
        <v>10</v>
      </c>
      <c r="B7" s="106"/>
      <c r="C7" s="107"/>
      <c r="D7" s="111">
        <f>SUM(Vehicles!$H$2:$H$51)</f>
        <v>1855.489361702128</v>
      </c>
      <c r="E7" s="112"/>
      <c r="F7" s="113"/>
      <c r="G7" s="117">
        <f>IFERROR(MAX('Load Profile'!$G$2:$G$97),0)</f>
        <v>580</v>
      </c>
      <c r="H7" s="118"/>
      <c r="I7" s="119"/>
      <c r="J7" s="117">
        <f>IFERROR(MAX('Load Profile'!$H$2:$H$97),0)</f>
        <v>288.82886807663419</v>
      </c>
      <c r="K7" s="118"/>
      <c r="L7" s="119"/>
    </row>
    <row r="8" spans="1:12">
      <c r="A8" s="108"/>
      <c r="B8" s="109"/>
      <c r="C8" s="110"/>
      <c r="D8" s="114"/>
      <c r="E8" s="115"/>
      <c r="F8" s="116"/>
      <c r="G8" s="120"/>
      <c r="H8" s="121"/>
      <c r="I8" s="122"/>
      <c r="J8" s="120"/>
      <c r="K8" s="121"/>
      <c r="L8" s="122"/>
    </row>
    <row r="10" spans="1:12">
      <c r="A10" s="99" t="s">
        <v>5</v>
      </c>
      <c r="B10" s="100"/>
      <c r="C10" s="101"/>
      <c r="D10" s="99" t="s">
        <v>6</v>
      </c>
      <c r="E10" s="100"/>
      <c r="F10" s="101"/>
      <c r="G10" s="99" t="s">
        <v>7</v>
      </c>
      <c r="H10" s="100"/>
      <c r="I10" s="101"/>
      <c r="J10" s="129" t="s">
        <v>8</v>
      </c>
      <c r="K10" s="130"/>
      <c r="L10" s="131"/>
    </row>
    <row r="11" spans="1:12">
      <c r="A11" s="102"/>
      <c r="B11" s="103"/>
      <c r="C11" s="104"/>
      <c r="D11" s="102"/>
      <c r="E11" s="103"/>
      <c r="F11" s="104"/>
      <c r="G11" s="102"/>
      <c r="H11" s="103"/>
      <c r="I11" s="104"/>
      <c r="J11" s="132"/>
      <c r="K11" s="133"/>
      <c r="L11" s="134"/>
    </row>
    <row r="12" spans="1:12">
      <c r="A12" s="117">
        <f>IFERROR(MAX('Load Profile'!$H$2:$H$97)*(1+Inputs!$B$16),0)</f>
        <v>332.15319828812932</v>
      </c>
      <c r="B12" s="118"/>
      <c r="C12" s="119"/>
      <c r="D12" s="117">
        <f>IFERROR(Inputs!$B$9-(MAX('Load Profile'!$H$2:$H$97)*(1+Inputs!$B$16)),0)</f>
        <v>1267.8468017118707</v>
      </c>
      <c r="E12" s="118"/>
      <c r="F12" s="119"/>
      <c r="G12" s="123">
        <f>IFERROR(IF(MAX('Load Profile'!$G$2:$G$97)=0,0,1-MAX('Load Profile'!$H$2:$H$97)/MAX('Load Profile'!$G$2:$G$97)),0)</f>
        <v>0.50201919297132036</v>
      </c>
      <c r="H12" s="124"/>
      <c r="I12" s="125"/>
      <c r="J12" s="135" t="str">
        <f>IF(COUNTIF(Vehicles!$N$2:$N$51,"NE")&gt;0,"PROVERITI WINDOW",IF(MAX('Load Profile'!$J$2:$J$97)&gt;Inputs!$B$11,"NEDOVOLJNO PORTOVA",IF(MAX('Load Profile'!$H$2:$H$97)*(1+Inputs!$B$16)&gt;Inputs!$B$9,"GRID LIMIT NEDOVOLJAN",IF(OR(Inputs!$B$9&lt;=0,(MAX('Load Profile'!$H$2:$H$97)*(1+Inputs!$B$16))/Inputs!$B$9&gt;Inputs!$B$18),"OGRANIČEN HEADROOM","POTENCIJALNO IZVODLJIVO"))))</f>
        <v>POTENCIJALNO IZVODLJIVO</v>
      </c>
      <c r="K12" s="136"/>
      <c r="L12" s="137"/>
    </row>
    <row r="13" spans="1:12">
      <c r="A13" s="120"/>
      <c r="B13" s="121"/>
      <c r="C13" s="122"/>
      <c r="D13" s="120"/>
      <c r="E13" s="121"/>
      <c r="F13" s="122"/>
      <c r="G13" s="126"/>
      <c r="H13" s="127"/>
      <c r="I13" s="128"/>
      <c r="J13" s="138"/>
      <c r="K13" s="139"/>
      <c r="L13" s="140"/>
    </row>
    <row r="16" spans="1:12">
      <c r="I16" s="141" t="s">
        <v>9</v>
      </c>
      <c r="J16" s="141"/>
      <c r="K16" s="141"/>
      <c r="L16" s="141"/>
    </row>
    <row r="17" spans="9:12">
      <c r="I17" s="142" t="s">
        <v>10</v>
      </c>
      <c r="J17" s="143"/>
      <c r="K17" s="144"/>
      <c r="L17" s="2">
        <f>Inputs!B9</f>
        <v>1600</v>
      </c>
    </row>
    <row r="18" spans="9:12">
      <c r="I18" s="142" t="s">
        <v>11</v>
      </c>
      <c r="J18" s="143"/>
      <c r="K18" s="144"/>
      <c r="L18" s="2">
        <f>IFERROR(MAX('Load Profile'!$H$2:$H$97)*(1+Inputs!$B$16),0)</f>
        <v>332.15319828812932</v>
      </c>
    </row>
    <row r="19" spans="9:12">
      <c r="I19" s="142" t="s">
        <v>12</v>
      </c>
      <c r="J19" s="143"/>
      <c r="K19" s="144"/>
      <c r="L19" s="3">
        <f>IFERROR(MAX('Load Profile'!$J$2:$J$97),0)</f>
        <v>10</v>
      </c>
    </row>
    <row r="20" spans="9:12">
      <c r="I20" s="142" t="s">
        <v>13</v>
      </c>
      <c r="J20" s="143"/>
      <c r="K20" s="144"/>
      <c r="L20" s="3">
        <f>Inputs!B11</f>
        <v>15</v>
      </c>
    </row>
    <row r="21" spans="9:12">
      <c r="I21" s="142" t="s">
        <v>14</v>
      </c>
      <c r="J21" s="143"/>
      <c r="K21" s="144"/>
      <c r="L21" s="3">
        <f>COUNTIF(Vehicles!$N$2:$N$51,"NE")</f>
        <v>0</v>
      </c>
    </row>
    <row r="22" spans="9:12">
      <c r="I22" s="142" t="s">
        <v>15</v>
      </c>
      <c r="J22" s="143"/>
      <c r="K22" s="144"/>
      <c r="L22" s="4">
        <f>IF(Inputs!B9&lt;=0,0,(MAX('Load Profile'!$H$2:$H$97)*(1+Inputs!$B$16))/Inputs!B9)</f>
        <v>0.20759574893008081</v>
      </c>
    </row>
    <row r="23" spans="9:12">
      <c r="I23" s="142" t="s">
        <v>16</v>
      </c>
      <c r="J23" s="143"/>
      <c r="K23" s="144"/>
      <c r="L23" s="2">
        <f>Inputs!B10*Inputs!B11</f>
        <v>1800</v>
      </c>
    </row>
    <row r="25" spans="9:12">
      <c r="I25" s="141" t="s">
        <v>17</v>
      </c>
      <c r="J25" s="141"/>
      <c r="K25" s="141"/>
      <c r="L25" s="141"/>
    </row>
    <row r="26" spans="9:12">
      <c r="I26" s="146" t="s">
        <v>18</v>
      </c>
      <c r="J26" s="147"/>
      <c r="K26" s="147"/>
      <c r="L26" s="148"/>
    </row>
    <row r="27" spans="9:12">
      <c r="I27" s="149"/>
      <c r="J27" s="150"/>
      <c r="K27" s="150"/>
      <c r="L27" s="151"/>
    </row>
    <row r="28" spans="9:12">
      <c r="I28" s="149"/>
      <c r="J28" s="150"/>
      <c r="K28" s="150"/>
      <c r="L28" s="151"/>
    </row>
    <row r="29" spans="9:12">
      <c r="I29" s="149"/>
      <c r="J29" s="150"/>
      <c r="K29" s="150"/>
      <c r="L29" s="151"/>
    </row>
    <row r="30" spans="9:12">
      <c r="I30" s="149"/>
      <c r="J30" s="150"/>
      <c r="K30" s="150"/>
      <c r="L30" s="151"/>
    </row>
    <row r="31" spans="9:12">
      <c r="I31" s="152"/>
      <c r="J31" s="153"/>
      <c r="K31" s="153"/>
      <c r="L31" s="154"/>
    </row>
    <row r="33" spans="9:12">
      <c r="I33" s="141" t="s">
        <v>19</v>
      </c>
      <c r="J33" s="141"/>
      <c r="K33" s="141"/>
      <c r="L33" s="141"/>
    </row>
    <row r="34" spans="9:12">
      <c r="I34" s="142" t="s">
        <v>20</v>
      </c>
      <c r="J34" s="143"/>
      <c r="K34" s="144"/>
      <c r="L34" s="5">
        <f>SUM(Vehicles!$H$2:$H$51)*Inputs!$B$13</f>
        <v>0</v>
      </c>
    </row>
    <row r="35" spans="9:12">
      <c r="I35" s="142" t="s">
        <v>21</v>
      </c>
      <c r="J35" s="143"/>
      <c r="K35" s="144"/>
      <c r="L35" s="5">
        <f>SUM(Vehicles!$H$2:$H$51)*Inputs!$B$13*Inputs!$B$17</f>
        <v>0</v>
      </c>
    </row>
    <row r="36" spans="9:12">
      <c r="I36" s="142" t="s">
        <v>22</v>
      </c>
      <c r="J36" s="143"/>
      <c r="K36" s="144"/>
      <c r="L36" s="5">
        <f>IFERROR(MAX('Load Profile'!$G$2:$G$97)*Inputs!$B$14,0)</f>
        <v>0</v>
      </c>
    </row>
    <row r="37" spans="9:12">
      <c r="I37" s="142" t="s">
        <v>23</v>
      </c>
      <c r="J37" s="143"/>
      <c r="K37" s="144"/>
      <c r="L37" s="5">
        <f>IFERROR(MAX('Load Profile'!$H$2:$H$97)*Inputs!$B$14,0)</f>
        <v>0</v>
      </c>
    </row>
    <row r="38" spans="9:12">
      <c r="I38" s="145" t="str">
        <f>"Valuta: "&amp;Inputs!B15&amp;"  •  peak/demand charge je pojednostavljen unos"</f>
        <v>Valuta: RSD  •  peak/demand charge je pojednostavljen unos</v>
      </c>
      <c r="J38" s="145"/>
      <c r="K38" s="145"/>
      <c r="L38" s="145"/>
    </row>
  </sheetData>
  <mergeCells count="34">
    <mergeCell ref="I36:K36"/>
    <mergeCell ref="I37:K37"/>
    <mergeCell ref="I38:L38"/>
    <mergeCell ref="I25:L25"/>
    <mergeCell ref="I26:L31"/>
    <mergeCell ref="I33:L33"/>
    <mergeCell ref="I34:K34"/>
    <mergeCell ref="I35:K35"/>
    <mergeCell ref="I19:K19"/>
    <mergeCell ref="I20:K20"/>
    <mergeCell ref="I21:K21"/>
    <mergeCell ref="I22:K22"/>
    <mergeCell ref="I23:K23"/>
    <mergeCell ref="J10:L11"/>
    <mergeCell ref="J12:L13"/>
    <mergeCell ref="I16:L16"/>
    <mergeCell ref="I17:K17"/>
    <mergeCell ref="I18:K18"/>
    <mergeCell ref="A10:C11"/>
    <mergeCell ref="A12:C13"/>
    <mergeCell ref="D10:F11"/>
    <mergeCell ref="D12:F13"/>
    <mergeCell ref="G10:I11"/>
    <mergeCell ref="G12:I13"/>
    <mergeCell ref="A1:L2"/>
    <mergeCell ref="A3:L3"/>
    <mergeCell ref="A5:C6"/>
    <mergeCell ref="A7:C8"/>
    <mergeCell ref="D5:F6"/>
    <mergeCell ref="D7:F8"/>
    <mergeCell ref="G5:I6"/>
    <mergeCell ref="G7:I8"/>
    <mergeCell ref="J5:L6"/>
    <mergeCell ref="J7:L8"/>
  </mergeCells>
  <conditionalFormatting sqref="J12:L13">
    <cfRule type="expression" dxfId="7" priority="1">
      <formula>$J$12="POTENCIJALNO IZVODLJIVO"</formula>
    </cfRule>
    <cfRule type="expression" dxfId="6" priority="2">
      <formula>OR($J$12="OGRANIČEN HEADROOM",$J$12="PROVERITI WINDOW")</formula>
    </cfRule>
    <cfRule type="expression" dxfId="5" priority="3">
      <formula>OR($J$12="GRID LIMIT NEDOVOLJAN",$J$12="NEDOVOLJNO PORTOVA")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sqref="A1:H2"/>
    </sheetView>
  </sheetViews>
  <sheetFormatPr defaultRowHeight="14.4"/>
  <cols>
    <col min="1" max="1" width="10.69921875" style="15" customWidth="1"/>
    <col min="2" max="2" width="40.59765625" style="15" customWidth="1"/>
    <col min="3" max="3" width="68.8984375" style="15" customWidth="1"/>
    <col min="4" max="8" width="12" style="15" customWidth="1"/>
    <col min="9" max="16384" width="8.796875" style="15"/>
  </cols>
  <sheetData>
    <row r="1" spans="1:8">
      <c r="A1" s="97" t="s">
        <v>184</v>
      </c>
      <c r="B1" s="97"/>
      <c r="C1" s="97"/>
      <c r="D1" s="97"/>
      <c r="E1" s="97"/>
      <c r="F1" s="97"/>
      <c r="G1" s="97"/>
      <c r="H1" s="97"/>
    </row>
    <row r="2" spans="1:8">
      <c r="A2" s="97"/>
      <c r="B2" s="97"/>
      <c r="C2" s="97"/>
      <c r="D2" s="97"/>
      <c r="E2" s="97"/>
      <c r="F2" s="97"/>
      <c r="G2" s="97"/>
      <c r="H2" s="97"/>
    </row>
    <row r="3" spans="1:8">
      <c r="A3" s="98" t="s">
        <v>24</v>
      </c>
      <c r="B3" s="98"/>
      <c r="C3" s="98"/>
      <c r="D3" s="98"/>
      <c r="E3" s="98"/>
      <c r="F3" s="98"/>
      <c r="G3" s="98"/>
      <c r="H3" s="98"/>
    </row>
    <row r="5" spans="1:8">
      <c r="A5" s="141" t="s">
        <v>25</v>
      </c>
      <c r="B5" s="141"/>
      <c r="C5" s="141"/>
      <c r="D5" s="141"/>
      <c r="E5" s="141"/>
      <c r="F5" s="141"/>
      <c r="G5" s="141"/>
      <c r="H5" s="141"/>
    </row>
    <row r="6" spans="1:8" ht="18">
      <c r="A6" s="6" t="s">
        <v>26</v>
      </c>
      <c r="B6" s="7" t="s">
        <v>27</v>
      </c>
      <c r="C6" s="155" t="s">
        <v>28</v>
      </c>
      <c r="D6" s="155"/>
      <c r="E6" s="155"/>
      <c r="F6" s="155"/>
      <c r="G6" s="155"/>
      <c r="H6" s="155"/>
    </row>
    <row r="7" spans="1:8" ht="18">
      <c r="A7" s="8" t="s">
        <v>29</v>
      </c>
      <c r="B7" s="9" t="s">
        <v>30</v>
      </c>
      <c r="C7" s="156" t="s">
        <v>31</v>
      </c>
      <c r="D7" s="156"/>
      <c r="E7" s="156"/>
      <c r="F7" s="156"/>
      <c r="G7" s="156"/>
      <c r="H7" s="156"/>
    </row>
    <row r="8" spans="1:8" ht="18">
      <c r="A8" s="8" t="s">
        <v>32</v>
      </c>
      <c r="B8" s="9" t="s">
        <v>33</v>
      </c>
      <c r="C8" s="156" t="s">
        <v>34</v>
      </c>
      <c r="D8" s="156"/>
      <c r="E8" s="156"/>
      <c r="F8" s="156"/>
      <c r="G8" s="156"/>
      <c r="H8" s="156"/>
    </row>
    <row r="9" spans="1:8" ht="18">
      <c r="A9" s="10" t="s">
        <v>35</v>
      </c>
      <c r="B9" s="11" t="s">
        <v>36</v>
      </c>
      <c r="C9" s="157" t="s">
        <v>37</v>
      </c>
      <c r="D9" s="157"/>
      <c r="E9" s="157"/>
      <c r="F9" s="157"/>
      <c r="G9" s="157"/>
      <c r="H9" s="157"/>
    </row>
    <row r="11" spans="1:8">
      <c r="A11" s="141" t="s">
        <v>38</v>
      </c>
      <c r="B11" s="141"/>
      <c r="C11" s="141"/>
      <c r="D11" s="141"/>
      <c r="E11" s="141"/>
      <c r="F11" s="141"/>
      <c r="G11" s="141"/>
      <c r="H11" s="141"/>
    </row>
    <row r="12" spans="1:8">
      <c r="A12" s="16" t="s">
        <v>39</v>
      </c>
      <c r="B12" s="17" t="s">
        <v>40</v>
      </c>
    </row>
    <row r="13" spans="1:8">
      <c r="A13" s="18" t="s">
        <v>41</v>
      </c>
      <c r="B13" s="19" t="s">
        <v>42</v>
      </c>
    </row>
    <row r="14" spans="1:8">
      <c r="A14" s="20" t="s">
        <v>43</v>
      </c>
      <c r="B14" s="19" t="s">
        <v>44</v>
      </c>
    </row>
    <row r="15" spans="1:8">
      <c r="A15" s="21" t="s">
        <v>45</v>
      </c>
      <c r="B15" s="19" t="s">
        <v>46</v>
      </c>
    </row>
    <row r="16" spans="1:8">
      <c r="A16" s="22" t="s">
        <v>47</v>
      </c>
      <c r="B16" s="23" t="s">
        <v>48</v>
      </c>
    </row>
    <row r="18" spans="1:8">
      <c r="A18" s="141" t="s">
        <v>49</v>
      </c>
      <c r="B18" s="141"/>
      <c r="C18" s="141"/>
      <c r="D18" s="141"/>
      <c r="E18" s="141"/>
      <c r="F18" s="141"/>
      <c r="G18" s="141"/>
      <c r="H18" s="141"/>
    </row>
    <row r="19" spans="1:8">
      <c r="A19" s="12" t="s">
        <v>50</v>
      </c>
      <c r="B19" s="155" t="s">
        <v>51</v>
      </c>
      <c r="C19" s="155"/>
      <c r="D19" s="155"/>
      <c r="E19" s="155"/>
      <c r="F19" s="155"/>
      <c r="G19" s="155"/>
      <c r="H19" s="155"/>
    </row>
    <row r="20" spans="1:8">
      <c r="A20" s="13" t="s">
        <v>52</v>
      </c>
      <c r="B20" s="156" t="s">
        <v>53</v>
      </c>
      <c r="C20" s="156"/>
      <c r="D20" s="156"/>
      <c r="E20" s="156"/>
      <c r="F20" s="156"/>
      <c r="G20" s="156"/>
      <c r="H20" s="156"/>
    </row>
    <row r="21" spans="1:8">
      <c r="A21" s="13" t="s">
        <v>54</v>
      </c>
      <c r="B21" s="156" t="s">
        <v>55</v>
      </c>
      <c r="C21" s="156"/>
      <c r="D21" s="156"/>
      <c r="E21" s="156"/>
      <c r="F21" s="156"/>
      <c r="G21" s="156"/>
      <c r="H21" s="156"/>
    </row>
    <row r="22" spans="1:8">
      <c r="A22" s="14" t="s">
        <v>56</v>
      </c>
      <c r="B22" s="157" t="s">
        <v>57</v>
      </c>
      <c r="C22" s="157"/>
      <c r="D22" s="157"/>
      <c r="E22" s="157"/>
      <c r="F22" s="157"/>
      <c r="G22" s="157"/>
      <c r="H22" s="157"/>
    </row>
    <row r="24" spans="1:8">
      <c r="A24" s="141" t="s">
        <v>58</v>
      </c>
      <c r="B24" s="141"/>
      <c r="C24" s="141"/>
      <c r="D24" s="141"/>
      <c r="E24" s="141"/>
      <c r="F24" s="141"/>
      <c r="G24" s="141"/>
      <c r="H24" s="141"/>
    </row>
    <row r="25" spans="1:8">
      <c r="A25" s="158" t="s">
        <v>59</v>
      </c>
      <c r="B25" s="159"/>
      <c r="C25" s="159"/>
      <c r="D25" s="159"/>
      <c r="E25" s="159"/>
      <c r="F25" s="159"/>
      <c r="G25" s="159"/>
      <c r="H25" s="160"/>
    </row>
    <row r="26" spans="1:8">
      <c r="A26" s="161"/>
      <c r="B26" s="162"/>
      <c r="C26" s="162"/>
      <c r="D26" s="162"/>
      <c r="E26" s="162"/>
      <c r="F26" s="162"/>
      <c r="G26" s="162"/>
      <c r="H26" s="163"/>
    </row>
    <row r="27" spans="1:8">
      <c r="A27" s="164" t="s">
        <v>185</v>
      </c>
      <c r="B27" s="164"/>
      <c r="C27" s="164"/>
      <c r="D27" s="162"/>
      <c r="E27" s="162"/>
      <c r="F27" s="162"/>
      <c r="G27" s="162"/>
      <c r="H27" s="163"/>
    </row>
    <row r="28" spans="1:8">
      <c r="A28" s="162" t="s">
        <v>186</v>
      </c>
      <c r="B28" s="162" t="s">
        <v>187</v>
      </c>
      <c r="C28" s="162" t="s">
        <v>188</v>
      </c>
      <c r="D28" s="162"/>
      <c r="E28" s="162"/>
      <c r="F28" s="162"/>
      <c r="G28" s="162"/>
      <c r="H28" s="163"/>
    </row>
    <row r="29" spans="1:8">
      <c r="A29" s="165"/>
      <c r="B29" s="166"/>
      <c r="C29" s="166"/>
      <c r="D29" s="166"/>
      <c r="E29" s="166"/>
      <c r="F29" s="166"/>
      <c r="G29" s="166"/>
      <c r="H29" s="167"/>
    </row>
    <row r="31" spans="1:8">
      <c r="A31" s="168" t="s">
        <v>189</v>
      </c>
      <c r="B31" s="168"/>
      <c r="C31" s="168"/>
      <c r="D31" s="168"/>
      <c r="E31" s="168"/>
      <c r="F31" s="168"/>
      <c r="G31" s="168"/>
      <c r="H31" s="168"/>
    </row>
  </sheetData>
  <mergeCells count="16">
    <mergeCell ref="A24:H24"/>
    <mergeCell ref="A25:H29"/>
    <mergeCell ref="A31:H31"/>
    <mergeCell ref="B19:H19"/>
    <mergeCell ref="B20:H20"/>
    <mergeCell ref="B21:H21"/>
    <mergeCell ref="B22:H22"/>
    <mergeCell ref="A1:H2"/>
    <mergeCell ref="A3:H3"/>
    <mergeCell ref="A5:H5"/>
    <mergeCell ref="A11:H11"/>
    <mergeCell ref="A18:H18"/>
    <mergeCell ref="C6:H6"/>
    <mergeCell ref="C7:H7"/>
    <mergeCell ref="C8:H8"/>
    <mergeCell ref="C9:H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sqref="A1:D2"/>
    </sheetView>
  </sheetViews>
  <sheetFormatPr defaultRowHeight="14.4"/>
  <cols>
    <col min="1" max="1" width="29.19921875" style="15" customWidth="1"/>
    <col min="2" max="2" width="15.5" style="15" customWidth="1"/>
    <col min="3" max="3" width="11.5" style="15" customWidth="1"/>
    <col min="4" max="4" width="67.796875" style="15" customWidth="1"/>
    <col min="5" max="6" width="12" style="15" customWidth="1"/>
    <col min="7" max="16384" width="8.796875" style="15"/>
  </cols>
  <sheetData>
    <row r="1" spans="1:6" ht="25.8">
      <c r="A1" s="97" t="s">
        <v>60</v>
      </c>
      <c r="B1" s="97"/>
      <c r="C1" s="97"/>
      <c r="D1" s="97"/>
      <c r="E1" s="82"/>
      <c r="F1" s="82"/>
    </row>
    <row r="2" spans="1:6" ht="25.8">
      <c r="A2" s="97"/>
      <c r="B2" s="97"/>
      <c r="C2" s="97"/>
      <c r="D2" s="97"/>
      <c r="E2" s="82"/>
      <c r="F2" s="82"/>
    </row>
    <row r="3" spans="1:6">
      <c r="A3" s="98" t="s">
        <v>61</v>
      </c>
      <c r="B3" s="98"/>
      <c r="C3" s="98"/>
      <c r="D3" s="98"/>
      <c r="E3" s="83"/>
      <c r="F3" s="83"/>
    </row>
    <row r="5" spans="1:6">
      <c r="A5" s="24" t="s">
        <v>62</v>
      </c>
      <c r="B5" s="24" t="s">
        <v>63</v>
      </c>
      <c r="C5" s="24" t="s">
        <v>64</v>
      </c>
      <c r="D5" s="24" t="s">
        <v>65</v>
      </c>
    </row>
    <row r="6" spans="1:6">
      <c r="A6" s="70" t="s">
        <v>66</v>
      </c>
      <c r="B6" s="85">
        <v>0.94</v>
      </c>
      <c r="C6" s="86" t="s">
        <v>67</v>
      </c>
      <c r="D6" s="72" t="s">
        <v>68</v>
      </c>
    </row>
    <row r="7" spans="1:6">
      <c r="A7" s="73" t="s">
        <v>69</v>
      </c>
      <c r="B7" s="87">
        <v>0.1</v>
      </c>
      <c r="C7" s="88" t="s">
        <v>67</v>
      </c>
      <c r="D7" s="75" t="s">
        <v>70</v>
      </c>
    </row>
    <row r="8" spans="1:6">
      <c r="A8" s="73" t="s">
        <v>71</v>
      </c>
      <c r="B8" s="89">
        <v>100</v>
      </c>
      <c r="C8" s="88" t="s">
        <v>72</v>
      </c>
      <c r="D8" s="75" t="s">
        <v>73</v>
      </c>
    </row>
    <row r="9" spans="1:6">
      <c r="A9" s="73" t="s">
        <v>74</v>
      </c>
      <c r="B9" s="89">
        <v>1600</v>
      </c>
      <c r="C9" s="88" t="s">
        <v>72</v>
      </c>
      <c r="D9" s="75" t="s">
        <v>75</v>
      </c>
    </row>
    <row r="10" spans="1:6">
      <c r="A10" s="73" t="s">
        <v>76</v>
      </c>
      <c r="B10" s="89">
        <v>120</v>
      </c>
      <c r="C10" s="88" t="s">
        <v>72</v>
      </c>
      <c r="D10" s="75" t="s">
        <v>77</v>
      </c>
    </row>
    <row r="11" spans="1:6">
      <c r="A11" s="73" t="s">
        <v>78</v>
      </c>
      <c r="B11" s="89">
        <v>15</v>
      </c>
      <c r="C11" s="88" t="s">
        <v>79</v>
      </c>
      <c r="D11" s="75" t="s">
        <v>80</v>
      </c>
    </row>
    <row r="12" spans="1:6" ht="28.8">
      <c r="A12" s="73" t="s">
        <v>81</v>
      </c>
      <c r="B12" s="90">
        <v>0.5</v>
      </c>
      <c r="C12" s="88" t="s">
        <v>82</v>
      </c>
      <c r="D12" s="75" t="s">
        <v>83</v>
      </c>
    </row>
    <row r="13" spans="1:6">
      <c r="A13" s="73" t="s">
        <v>84</v>
      </c>
      <c r="B13" s="89">
        <v>0</v>
      </c>
      <c r="C13" s="88" t="s">
        <v>85</v>
      </c>
      <c r="D13" s="75" t="s">
        <v>86</v>
      </c>
    </row>
    <row r="14" spans="1:6">
      <c r="A14" s="73" t="s">
        <v>87</v>
      </c>
      <c r="B14" s="89">
        <v>0</v>
      </c>
      <c r="C14" s="88" t="s">
        <v>88</v>
      </c>
      <c r="D14" s="75" t="s">
        <v>89</v>
      </c>
    </row>
    <row r="15" spans="1:6">
      <c r="A15" s="73" t="s">
        <v>90</v>
      </c>
      <c r="B15" s="89" t="s">
        <v>91</v>
      </c>
      <c r="C15" s="88"/>
      <c r="D15" s="75" t="s">
        <v>92</v>
      </c>
    </row>
    <row r="16" spans="1:6">
      <c r="A16" s="73" t="s">
        <v>93</v>
      </c>
      <c r="B16" s="87">
        <v>0.15</v>
      </c>
      <c r="C16" s="88" t="s">
        <v>67</v>
      </c>
      <c r="D16" s="75" t="s">
        <v>94</v>
      </c>
    </row>
    <row r="17" spans="1:6">
      <c r="A17" s="73" t="s">
        <v>95</v>
      </c>
      <c r="B17" s="89">
        <v>30</v>
      </c>
      <c r="C17" s="88" t="s">
        <v>96</v>
      </c>
      <c r="D17" s="75" t="s">
        <v>97</v>
      </c>
    </row>
    <row r="18" spans="1:6" ht="28.8">
      <c r="A18" s="73" t="s">
        <v>98</v>
      </c>
      <c r="B18" s="91">
        <v>0.85</v>
      </c>
      <c r="C18" s="88" t="s">
        <v>67</v>
      </c>
      <c r="D18" s="75" t="s">
        <v>99</v>
      </c>
    </row>
    <row r="19" spans="1:6">
      <c r="A19" s="76" t="s">
        <v>100</v>
      </c>
      <c r="B19" s="92">
        <v>15</v>
      </c>
      <c r="C19" s="93" t="s">
        <v>101</v>
      </c>
      <c r="D19" s="78" t="s">
        <v>102</v>
      </c>
    </row>
    <row r="21" spans="1:6">
      <c r="A21" s="169" t="s">
        <v>103</v>
      </c>
      <c r="B21" s="169"/>
      <c r="C21" s="169"/>
      <c r="D21" s="169"/>
      <c r="E21" s="84"/>
      <c r="F21" s="84"/>
    </row>
    <row r="22" spans="1:6">
      <c r="A22" s="94" t="s">
        <v>26</v>
      </c>
      <c r="B22" s="155" t="s">
        <v>104</v>
      </c>
      <c r="C22" s="155"/>
      <c r="D22" s="155"/>
    </row>
    <row r="23" spans="1:6">
      <c r="A23" s="95" t="s">
        <v>29</v>
      </c>
      <c r="B23" s="156" t="s">
        <v>105</v>
      </c>
      <c r="C23" s="156"/>
      <c r="D23" s="156"/>
    </row>
    <row r="24" spans="1:6">
      <c r="A24" s="95" t="s">
        <v>32</v>
      </c>
      <c r="B24" s="156" t="s">
        <v>106</v>
      </c>
      <c r="C24" s="156"/>
      <c r="D24" s="156"/>
    </row>
    <row r="25" spans="1:6">
      <c r="A25" s="96" t="s">
        <v>35</v>
      </c>
      <c r="B25" s="157" t="s">
        <v>107</v>
      </c>
      <c r="C25" s="157"/>
      <c r="D25" s="157"/>
    </row>
  </sheetData>
  <mergeCells count="7">
    <mergeCell ref="B22:D22"/>
    <mergeCell ref="B23:D23"/>
    <mergeCell ref="B24:D24"/>
    <mergeCell ref="B25:D25"/>
    <mergeCell ref="A1:D2"/>
    <mergeCell ref="A3:D3"/>
    <mergeCell ref="A21:D21"/>
  </mergeCells>
  <dataValidations count="1">
    <dataValidation type="list" sqref="B15" xr:uid="{00000000-0002-0000-0200-000000000000}">
      <formula1>"RSD,EUR"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1"/>
  <sheetViews>
    <sheetView workbookViewId="0"/>
  </sheetViews>
  <sheetFormatPr defaultRowHeight="14.4"/>
  <cols>
    <col min="1" max="1" width="11.59765625" style="1" customWidth="1"/>
    <col min="2" max="2" width="9.59765625" style="1" customWidth="1"/>
    <col min="3" max="3" width="11.296875" style="1" customWidth="1"/>
    <col min="4" max="4" width="12.5" style="1" customWidth="1"/>
    <col min="5" max="5" width="7.5" style="1" customWidth="1"/>
    <col min="6" max="6" width="7.296875" style="1" customWidth="1"/>
    <col min="7" max="7" width="11.19921875" style="1" customWidth="1"/>
    <col min="8" max="8" width="13" style="1" customWidth="1"/>
    <col min="9" max="9" width="8.69921875" style="1" customWidth="1"/>
    <col min="10" max="10" width="11.8984375" style="1" customWidth="1"/>
    <col min="11" max="11" width="14.69921875" style="1" customWidth="1"/>
    <col min="12" max="12" width="17.296875" style="1" customWidth="1"/>
    <col min="13" max="13" width="14.3984375" style="1" customWidth="1"/>
    <col min="14" max="14" width="8.3984375" style="1" customWidth="1"/>
    <col min="15" max="16" width="13.796875" style="1" customWidth="1"/>
    <col min="17" max="17" width="15.796875" style="1" customWidth="1"/>
    <col min="18" max="18" width="29.8984375" style="1" customWidth="1"/>
    <col min="19" max="16384" width="8.796875" style="1"/>
  </cols>
  <sheetData>
    <row r="1" spans="1:18" ht="28.8">
      <c r="A1" s="24" t="s">
        <v>108</v>
      </c>
      <c r="B1" s="24" t="s">
        <v>109</v>
      </c>
      <c r="C1" s="24" t="s">
        <v>110</v>
      </c>
      <c r="D1" s="24" t="s">
        <v>111</v>
      </c>
      <c r="E1" s="24" t="s">
        <v>112</v>
      </c>
      <c r="F1" s="24" t="s">
        <v>113</v>
      </c>
      <c r="G1" s="24" t="s">
        <v>114</v>
      </c>
      <c r="H1" s="24" t="s">
        <v>115</v>
      </c>
      <c r="I1" s="24" t="s">
        <v>116</v>
      </c>
      <c r="J1" s="24" t="s">
        <v>117</v>
      </c>
      <c r="K1" s="24" t="s">
        <v>118</v>
      </c>
      <c r="L1" s="24" t="s">
        <v>119</v>
      </c>
      <c r="M1" s="24" t="s">
        <v>120</v>
      </c>
      <c r="N1" s="24" t="s">
        <v>121</v>
      </c>
      <c r="O1" s="24" t="s">
        <v>122</v>
      </c>
      <c r="P1" s="24" t="s">
        <v>123</v>
      </c>
      <c r="Q1" s="24" t="s">
        <v>124</v>
      </c>
      <c r="R1" s="24" t="s">
        <v>65</v>
      </c>
    </row>
    <row r="2" spans="1:18">
      <c r="A2" s="28" t="s">
        <v>125</v>
      </c>
      <c r="B2" s="29">
        <v>220</v>
      </c>
      <c r="C2" s="29">
        <v>72</v>
      </c>
      <c r="D2" s="29">
        <v>120</v>
      </c>
      <c r="E2" s="30">
        <v>0.75</v>
      </c>
      <c r="F2" s="31">
        <v>0.20833333330000001</v>
      </c>
      <c r="G2" s="32">
        <f t="shared" ref="G2:G33" si="0">IF(OR(A2="",B2="",C2=""),"",B2*C2/100)</f>
        <v>158.4</v>
      </c>
      <c r="H2" s="33">
        <f>IF(G2="","",IF(Inputs!$B$6&lt;=0,"",G2*(1+Inputs!$B$7)/Inputs!$B$6))</f>
        <v>185.36170212765958</v>
      </c>
      <c r="I2" s="33">
        <f t="shared" ref="I2:I33" si="1">IF(OR(A2="",E2="",F2=""),"",IF(MOD(F2-E2,1)=0,24,MOD(F2-E2,1)*24))</f>
        <v>10.9999999992</v>
      </c>
      <c r="J2" s="33">
        <f>IF(OR(A2="",D2=""),"",MIN(D2,Inputs!$B$10))</f>
        <v>120</v>
      </c>
      <c r="K2" s="33">
        <f t="shared" ref="K2:K33" si="2">IF(OR(H2="",J2="",J2=0),"",H2/J2)</f>
        <v>1.5446808510638299</v>
      </c>
      <c r="L2" s="33">
        <f t="shared" ref="L2:L33" si="3">IF(OR(I2="",K2=""),"",I2-K2)</f>
        <v>9.4553191481361694</v>
      </c>
      <c r="M2" s="33">
        <f t="shared" ref="M2:M33" si="4">IF(OR(H2="",I2="",I2=0),"",H2/I2)</f>
        <v>16.851063831012766</v>
      </c>
      <c r="N2" s="34" t="str">
        <f t="shared" ref="N2:N33" si="5">IF(OR(K2="",I2=""),"",IF(K2&lt;=I2,"DA","NE"))</f>
        <v>DA</v>
      </c>
      <c r="O2" s="33">
        <f>IF(OR(A2="",E2=""),"",MOD(E2-Inputs!$B$12,1)*24)</f>
        <v>6</v>
      </c>
      <c r="P2" s="33">
        <f t="shared" ref="P2:P33" si="6">IF(OR(O2="",I2=""),"",O2+I2)</f>
        <v>16.9999999992</v>
      </c>
      <c r="Q2" s="35">
        <f t="shared" ref="Q2:Q33" si="7">IF(OR(O2="",K2=""),"",O2+K2)</f>
        <v>7.5446808510638297</v>
      </c>
      <c r="R2" s="25" t="s">
        <v>126</v>
      </c>
    </row>
    <row r="3" spans="1:18">
      <c r="A3" s="36" t="s">
        <v>127</v>
      </c>
      <c r="B3" s="37">
        <v>205</v>
      </c>
      <c r="C3" s="37">
        <v>70</v>
      </c>
      <c r="D3" s="37">
        <v>120</v>
      </c>
      <c r="E3" s="38">
        <v>0.77083333330000003</v>
      </c>
      <c r="F3" s="39">
        <v>0.21875</v>
      </c>
      <c r="G3" s="40">
        <f t="shared" si="0"/>
        <v>143.5</v>
      </c>
      <c r="H3" s="41">
        <f>IF(G3="","",IF(Inputs!$B$6&lt;=0,"",G3*(1+Inputs!$B$7)/Inputs!$B$6))</f>
        <v>167.92553191489364</v>
      </c>
      <c r="I3" s="41">
        <f t="shared" si="1"/>
        <v>10.7500000008</v>
      </c>
      <c r="J3" s="41">
        <f>IF(OR(A3="",D3=""),"",MIN(D3,Inputs!$B$10))</f>
        <v>120</v>
      </c>
      <c r="K3" s="41">
        <f t="shared" si="2"/>
        <v>1.3993794326241136</v>
      </c>
      <c r="L3" s="41">
        <f t="shared" si="3"/>
        <v>9.350620568175886</v>
      </c>
      <c r="M3" s="41">
        <f t="shared" si="4"/>
        <v>15.62097971185087</v>
      </c>
      <c r="N3" s="42" t="str">
        <f t="shared" si="5"/>
        <v>DA</v>
      </c>
      <c r="O3" s="41">
        <f>IF(OR(A3="",E3=""),"",MOD(E3-Inputs!$B$12,1)*24)</f>
        <v>6.4999999992000008</v>
      </c>
      <c r="P3" s="41">
        <f t="shared" si="6"/>
        <v>17.25</v>
      </c>
      <c r="Q3" s="43">
        <f t="shared" si="7"/>
        <v>7.899379431824114</v>
      </c>
      <c r="R3" s="26" t="s">
        <v>126</v>
      </c>
    </row>
    <row r="4" spans="1:18">
      <c r="A4" s="36" t="s">
        <v>128</v>
      </c>
      <c r="B4" s="37">
        <v>240</v>
      </c>
      <c r="C4" s="37">
        <v>74</v>
      </c>
      <c r="D4" s="37">
        <v>120</v>
      </c>
      <c r="E4" s="38">
        <v>0.79166666669999997</v>
      </c>
      <c r="F4" s="39">
        <v>0.22916666669999999</v>
      </c>
      <c r="G4" s="40">
        <f t="shared" si="0"/>
        <v>177.6</v>
      </c>
      <c r="H4" s="41">
        <f>IF(G4="","",IF(Inputs!$B$6&lt;=0,"",G4*(1+Inputs!$B$7)/Inputs!$B$6))</f>
        <v>207.82978723404258</v>
      </c>
      <c r="I4" s="41">
        <f t="shared" si="1"/>
        <v>10.5</v>
      </c>
      <c r="J4" s="41">
        <f>IF(OR(A4="",D4=""),"",MIN(D4,Inputs!$B$10))</f>
        <v>120</v>
      </c>
      <c r="K4" s="41">
        <f t="shared" si="2"/>
        <v>1.7319148936170214</v>
      </c>
      <c r="L4" s="41">
        <f t="shared" si="3"/>
        <v>8.7680851063829781</v>
      </c>
      <c r="M4" s="41">
        <f t="shared" si="4"/>
        <v>19.793313069908816</v>
      </c>
      <c r="N4" s="42" t="str">
        <f t="shared" si="5"/>
        <v>DA</v>
      </c>
      <c r="O4" s="41">
        <f>IF(OR(A4="",E4=""),"",MOD(E4-Inputs!$B$12,1)*24)</f>
        <v>7.0000000007999992</v>
      </c>
      <c r="P4" s="41">
        <f t="shared" si="6"/>
        <v>17.5000000008</v>
      </c>
      <c r="Q4" s="43">
        <f t="shared" si="7"/>
        <v>8.7319148944170202</v>
      </c>
      <c r="R4" s="26" t="s">
        <v>126</v>
      </c>
    </row>
    <row r="5" spans="1:18">
      <c r="A5" s="36" t="s">
        <v>129</v>
      </c>
      <c r="B5" s="37">
        <v>185</v>
      </c>
      <c r="C5" s="37">
        <v>68</v>
      </c>
      <c r="D5" s="37">
        <v>120</v>
      </c>
      <c r="E5" s="38">
        <v>0.8125</v>
      </c>
      <c r="F5" s="39">
        <v>0.23958333330000001</v>
      </c>
      <c r="G5" s="40">
        <f t="shared" si="0"/>
        <v>125.8</v>
      </c>
      <c r="H5" s="41">
        <f>IF(G5="","",IF(Inputs!$B$6&lt;=0,"",G5*(1+Inputs!$B$7)/Inputs!$B$6))</f>
        <v>147.21276595744681</v>
      </c>
      <c r="I5" s="41">
        <f t="shared" si="1"/>
        <v>10.2499999992</v>
      </c>
      <c r="J5" s="41">
        <f>IF(OR(A5="",D5=""),"",MIN(D5,Inputs!$B$10))</f>
        <v>120</v>
      </c>
      <c r="K5" s="41">
        <f t="shared" si="2"/>
        <v>1.2267730496453901</v>
      </c>
      <c r="L5" s="41">
        <f t="shared" si="3"/>
        <v>9.0232269495546102</v>
      </c>
      <c r="M5" s="41">
        <f t="shared" si="4"/>
        <v>14.362221070140155</v>
      </c>
      <c r="N5" s="42" t="str">
        <f t="shared" si="5"/>
        <v>DA</v>
      </c>
      <c r="O5" s="41">
        <f>IF(OR(A5="",E5=""),"",MOD(E5-Inputs!$B$12,1)*24)</f>
        <v>7.5</v>
      </c>
      <c r="P5" s="41">
        <f t="shared" si="6"/>
        <v>17.7499999992</v>
      </c>
      <c r="Q5" s="43">
        <f t="shared" si="7"/>
        <v>8.7267730496453897</v>
      </c>
      <c r="R5" s="26" t="s">
        <v>126</v>
      </c>
    </row>
    <row r="6" spans="1:18">
      <c r="A6" s="36" t="s">
        <v>130</v>
      </c>
      <c r="B6" s="37">
        <v>260</v>
      </c>
      <c r="C6" s="37">
        <v>76</v>
      </c>
      <c r="D6" s="37">
        <v>120</v>
      </c>
      <c r="E6" s="38">
        <v>0.83333333330000003</v>
      </c>
      <c r="F6" s="39">
        <v>0.25</v>
      </c>
      <c r="G6" s="40">
        <f t="shared" si="0"/>
        <v>197.6</v>
      </c>
      <c r="H6" s="41">
        <f>IF(G6="","",IF(Inputs!$B$6&lt;=0,"",G6*(1+Inputs!$B$7)/Inputs!$B$6))</f>
        <v>231.23404255319153</v>
      </c>
      <c r="I6" s="41">
        <f t="shared" si="1"/>
        <v>10.0000000008</v>
      </c>
      <c r="J6" s="41">
        <f>IF(OR(A6="",D6=""),"",MIN(D6,Inputs!$B$10))</f>
        <v>120</v>
      </c>
      <c r="K6" s="41">
        <f t="shared" si="2"/>
        <v>1.9269503546099294</v>
      </c>
      <c r="L6" s="41">
        <f t="shared" si="3"/>
        <v>8.0730496461900714</v>
      </c>
      <c r="M6" s="41">
        <f t="shared" si="4"/>
        <v>23.123404253469282</v>
      </c>
      <c r="N6" s="42" t="str">
        <f t="shared" si="5"/>
        <v>DA</v>
      </c>
      <c r="O6" s="41">
        <f>IF(OR(A6="",E6=""),"",MOD(E6-Inputs!$B$12,1)*24)</f>
        <v>7.9999999992000008</v>
      </c>
      <c r="P6" s="41">
        <f t="shared" si="6"/>
        <v>18</v>
      </c>
      <c r="Q6" s="43">
        <f t="shared" si="7"/>
        <v>9.9269503538099304</v>
      </c>
      <c r="R6" s="26" t="s">
        <v>126</v>
      </c>
    </row>
    <row r="7" spans="1:18">
      <c r="A7" s="36" t="s">
        <v>131</v>
      </c>
      <c r="B7" s="37">
        <v>215</v>
      </c>
      <c r="C7" s="37">
        <v>71</v>
      </c>
      <c r="D7" s="37">
        <v>120</v>
      </c>
      <c r="E7" s="38">
        <v>0.85416666669999997</v>
      </c>
      <c r="F7" s="39">
        <v>0.26041666670000002</v>
      </c>
      <c r="G7" s="40">
        <f t="shared" si="0"/>
        <v>152.65</v>
      </c>
      <c r="H7" s="41">
        <f>IF(G7="","",IF(Inputs!$B$6&lt;=0,"",G7*(1+Inputs!$B$7)/Inputs!$B$6))</f>
        <v>178.63297872340428</v>
      </c>
      <c r="I7" s="41">
        <f t="shared" si="1"/>
        <v>9.75</v>
      </c>
      <c r="J7" s="41">
        <f>IF(OR(A7="",D7=""),"",MIN(D7,Inputs!$B$10))</f>
        <v>120</v>
      </c>
      <c r="K7" s="41">
        <f t="shared" si="2"/>
        <v>1.488608156028369</v>
      </c>
      <c r="L7" s="41">
        <f t="shared" si="3"/>
        <v>8.2613918439716301</v>
      </c>
      <c r="M7" s="41">
        <f t="shared" si="4"/>
        <v>18.321331151118386</v>
      </c>
      <c r="N7" s="42" t="str">
        <f t="shared" si="5"/>
        <v>DA</v>
      </c>
      <c r="O7" s="41">
        <f>IF(OR(A7="",E7=""),"",MOD(E7-Inputs!$B$12,1)*24)</f>
        <v>8.5000000008000001</v>
      </c>
      <c r="P7" s="41">
        <f t="shared" si="6"/>
        <v>18.2500000008</v>
      </c>
      <c r="Q7" s="43">
        <f t="shared" si="7"/>
        <v>9.98860815682837</v>
      </c>
      <c r="R7" s="26" t="s">
        <v>126</v>
      </c>
    </row>
    <row r="8" spans="1:18">
      <c r="A8" s="36" t="s">
        <v>132</v>
      </c>
      <c r="B8" s="37">
        <v>235</v>
      </c>
      <c r="C8" s="37">
        <v>73</v>
      </c>
      <c r="D8" s="37">
        <v>120</v>
      </c>
      <c r="E8" s="38">
        <v>0.875</v>
      </c>
      <c r="F8" s="39">
        <v>0.27083333329999998</v>
      </c>
      <c r="G8" s="40">
        <f t="shared" si="0"/>
        <v>171.55</v>
      </c>
      <c r="H8" s="41">
        <f>IF(G8="","",IF(Inputs!$B$6&lt;=0,"",G8*(1+Inputs!$B$7)/Inputs!$B$6))</f>
        <v>200.75000000000006</v>
      </c>
      <c r="I8" s="41">
        <f t="shared" si="1"/>
        <v>9.4999999991999982</v>
      </c>
      <c r="J8" s="41">
        <f>IF(OR(A8="",D8=""),"",MIN(D8,Inputs!$B$10))</f>
        <v>120</v>
      </c>
      <c r="K8" s="41">
        <f t="shared" si="2"/>
        <v>1.6729166666666671</v>
      </c>
      <c r="L8" s="41">
        <f t="shared" si="3"/>
        <v>7.8270833325333307</v>
      </c>
      <c r="M8" s="41">
        <f t="shared" si="4"/>
        <v>21.131578949147933</v>
      </c>
      <c r="N8" s="42" t="str">
        <f t="shared" si="5"/>
        <v>DA</v>
      </c>
      <c r="O8" s="41">
        <f>IF(OR(A8="",E8=""),"",MOD(E8-Inputs!$B$12,1)*24)</f>
        <v>9</v>
      </c>
      <c r="P8" s="41">
        <f t="shared" si="6"/>
        <v>18.4999999992</v>
      </c>
      <c r="Q8" s="43">
        <f t="shared" si="7"/>
        <v>10.672916666666667</v>
      </c>
      <c r="R8" s="26" t="s">
        <v>126</v>
      </c>
    </row>
    <row r="9" spans="1:18">
      <c r="A9" s="36" t="s">
        <v>133</v>
      </c>
      <c r="B9" s="37">
        <v>200</v>
      </c>
      <c r="C9" s="37">
        <v>69</v>
      </c>
      <c r="D9" s="37">
        <v>120</v>
      </c>
      <c r="E9" s="38">
        <v>0.89583333330000003</v>
      </c>
      <c r="F9" s="39">
        <v>0.28125</v>
      </c>
      <c r="G9" s="40">
        <f t="shared" si="0"/>
        <v>138</v>
      </c>
      <c r="H9" s="41">
        <f>IF(G9="","",IF(Inputs!$B$6&lt;=0,"",G9*(1+Inputs!$B$7)/Inputs!$B$6))</f>
        <v>161.48936170212767</v>
      </c>
      <c r="I9" s="41">
        <f t="shared" si="1"/>
        <v>9.2500000008000001</v>
      </c>
      <c r="J9" s="41">
        <f>IF(OR(A9="",D9=""),"",MIN(D9,Inputs!$B$10))</f>
        <v>120</v>
      </c>
      <c r="K9" s="41">
        <f t="shared" si="2"/>
        <v>1.3457446808510638</v>
      </c>
      <c r="L9" s="41">
        <f t="shared" si="3"/>
        <v>7.9042553199489358</v>
      </c>
      <c r="M9" s="41">
        <f t="shared" si="4"/>
        <v>17.458309371693083</v>
      </c>
      <c r="N9" s="42" t="str">
        <f t="shared" si="5"/>
        <v>DA</v>
      </c>
      <c r="O9" s="41">
        <f>IF(OR(A9="",E9=""),"",MOD(E9-Inputs!$B$12,1)*24)</f>
        <v>9.4999999991999999</v>
      </c>
      <c r="P9" s="41">
        <f t="shared" si="6"/>
        <v>18.75</v>
      </c>
      <c r="Q9" s="43">
        <f t="shared" si="7"/>
        <v>10.845744680051064</v>
      </c>
      <c r="R9" s="26" t="s">
        <v>126</v>
      </c>
    </row>
    <row r="10" spans="1:18">
      <c r="A10" s="36" t="s">
        <v>134</v>
      </c>
      <c r="B10" s="37">
        <v>250</v>
      </c>
      <c r="C10" s="37">
        <v>75</v>
      </c>
      <c r="D10" s="37">
        <v>120</v>
      </c>
      <c r="E10" s="38">
        <v>0.91666666669999997</v>
      </c>
      <c r="F10" s="39">
        <v>0.29166666670000002</v>
      </c>
      <c r="G10" s="40">
        <f t="shared" si="0"/>
        <v>187.5</v>
      </c>
      <c r="H10" s="41">
        <f>IF(G10="","",IF(Inputs!$B$6&lt;=0,"",G10*(1+Inputs!$B$7)/Inputs!$B$6))</f>
        <v>219.41489361702131</v>
      </c>
      <c r="I10" s="41">
        <f t="shared" si="1"/>
        <v>9</v>
      </c>
      <c r="J10" s="41">
        <f>IF(OR(A10="",D10=""),"",MIN(D10,Inputs!$B$10))</f>
        <v>120</v>
      </c>
      <c r="K10" s="41">
        <f t="shared" si="2"/>
        <v>1.8284574468085109</v>
      </c>
      <c r="L10" s="41">
        <f t="shared" si="3"/>
        <v>7.1715425531914896</v>
      </c>
      <c r="M10" s="41">
        <f t="shared" si="4"/>
        <v>24.379432624113477</v>
      </c>
      <c r="N10" s="42" t="str">
        <f t="shared" si="5"/>
        <v>DA</v>
      </c>
      <c r="O10" s="41">
        <f>IF(OR(A10="",E10=""),"",MOD(E10-Inputs!$B$12,1)*24)</f>
        <v>10.0000000008</v>
      </c>
      <c r="P10" s="41">
        <f t="shared" si="6"/>
        <v>19.0000000008</v>
      </c>
      <c r="Q10" s="43">
        <f t="shared" si="7"/>
        <v>11.82845744760851</v>
      </c>
      <c r="R10" s="26" t="s">
        <v>126</v>
      </c>
    </row>
    <row r="11" spans="1:18">
      <c r="A11" s="36" t="s">
        <v>135</v>
      </c>
      <c r="B11" s="37">
        <v>190</v>
      </c>
      <c r="C11" s="37">
        <v>70</v>
      </c>
      <c r="D11" s="37">
        <v>120</v>
      </c>
      <c r="E11" s="38">
        <v>0.9375</v>
      </c>
      <c r="F11" s="39">
        <v>0.30208333329999998</v>
      </c>
      <c r="G11" s="40">
        <f t="shared" si="0"/>
        <v>133</v>
      </c>
      <c r="H11" s="41">
        <f>IF(G11="","",IF(Inputs!$B$6&lt;=0,"",G11*(1+Inputs!$B$7)/Inputs!$B$6))</f>
        <v>155.63829787234044</v>
      </c>
      <c r="I11" s="41">
        <f t="shared" si="1"/>
        <v>8.7499999991999982</v>
      </c>
      <c r="J11" s="41">
        <f>IF(OR(A11="",D11=""),"",MIN(D11,Inputs!$B$10))</f>
        <v>120</v>
      </c>
      <c r="K11" s="41">
        <f t="shared" si="2"/>
        <v>1.2969858156028371</v>
      </c>
      <c r="L11" s="41">
        <f t="shared" si="3"/>
        <v>7.4530141835971611</v>
      </c>
      <c r="M11" s="41">
        <f t="shared" si="4"/>
        <v>17.78723404417946</v>
      </c>
      <c r="N11" s="42" t="str">
        <f t="shared" si="5"/>
        <v>DA</v>
      </c>
      <c r="O11" s="41">
        <f>IF(OR(A11="",E11=""),"",MOD(E11-Inputs!$B$12,1)*24)</f>
        <v>10.5</v>
      </c>
      <c r="P11" s="41">
        <f t="shared" si="6"/>
        <v>19.2499999992</v>
      </c>
      <c r="Q11" s="43">
        <f t="shared" si="7"/>
        <v>11.796985815602838</v>
      </c>
      <c r="R11" s="26" t="s">
        <v>126</v>
      </c>
    </row>
    <row r="12" spans="1:18">
      <c r="A12" s="36"/>
      <c r="B12" s="37"/>
      <c r="C12" s="37"/>
      <c r="D12" s="37"/>
      <c r="E12" s="38"/>
      <c r="F12" s="39"/>
      <c r="G12" s="40" t="str">
        <f t="shared" si="0"/>
        <v/>
      </c>
      <c r="H12" s="41" t="str">
        <f>IF(G12="","",IF(Inputs!$B$6&lt;=0,"",G12*(1+Inputs!$B$7)/Inputs!$B$6))</f>
        <v/>
      </c>
      <c r="I12" s="41" t="str">
        <f t="shared" si="1"/>
        <v/>
      </c>
      <c r="J12" s="41" t="str">
        <f>IF(OR(A12="",D12=""),"",MIN(D12,Inputs!$B$10))</f>
        <v/>
      </c>
      <c r="K12" s="41" t="str">
        <f t="shared" si="2"/>
        <v/>
      </c>
      <c r="L12" s="41" t="str">
        <f t="shared" si="3"/>
        <v/>
      </c>
      <c r="M12" s="41" t="str">
        <f t="shared" si="4"/>
        <v/>
      </c>
      <c r="N12" s="42" t="str">
        <f t="shared" si="5"/>
        <v/>
      </c>
      <c r="O12" s="41" t="str">
        <f>IF(OR(A12="",E12=""),"",MOD(E12-Inputs!$B$12,1)*24)</f>
        <v/>
      </c>
      <c r="P12" s="41" t="str">
        <f t="shared" si="6"/>
        <v/>
      </c>
      <c r="Q12" s="43" t="str">
        <f t="shared" si="7"/>
        <v/>
      </c>
      <c r="R12" s="26"/>
    </row>
    <row r="13" spans="1:18">
      <c r="A13" s="36"/>
      <c r="B13" s="37"/>
      <c r="C13" s="37"/>
      <c r="D13" s="37"/>
      <c r="E13" s="38"/>
      <c r="F13" s="39"/>
      <c r="G13" s="40" t="str">
        <f t="shared" si="0"/>
        <v/>
      </c>
      <c r="H13" s="41" t="str">
        <f>IF(G13="","",IF(Inputs!$B$6&lt;=0,"",G13*(1+Inputs!$B$7)/Inputs!$B$6))</f>
        <v/>
      </c>
      <c r="I13" s="41" t="str">
        <f t="shared" si="1"/>
        <v/>
      </c>
      <c r="J13" s="41" t="str">
        <f>IF(OR(A13="",D13=""),"",MIN(D13,Inputs!$B$10))</f>
        <v/>
      </c>
      <c r="K13" s="41" t="str">
        <f t="shared" si="2"/>
        <v/>
      </c>
      <c r="L13" s="41" t="str">
        <f t="shared" si="3"/>
        <v/>
      </c>
      <c r="M13" s="41" t="str">
        <f t="shared" si="4"/>
        <v/>
      </c>
      <c r="N13" s="42" t="str">
        <f t="shared" si="5"/>
        <v/>
      </c>
      <c r="O13" s="41" t="str">
        <f>IF(OR(A13="",E13=""),"",MOD(E13-Inputs!$B$12,1)*24)</f>
        <v/>
      </c>
      <c r="P13" s="41" t="str">
        <f t="shared" si="6"/>
        <v/>
      </c>
      <c r="Q13" s="43" t="str">
        <f t="shared" si="7"/>
        <v/>
      </c>
      <c r="R13" s="26"/>
    </row>
    <row r="14" spans="1:18">
      <c r="A14" s="36"/>
      <c r="B14" s="37"/>
      <c r="C14" s="37"/>
      <c r="D14" s="37"/>
      <c r="E14" s="38"/>
      <c r="F14" s="39"/>
      <c r="G14" s="40" t="str">
        <f t="shared" si="0"/>
        <v/>
      </c>
      <c r="H14" s="41" t="str">
        <f>IF(G14="","",IF(Inputs!$B$6&lt;=0,"",G14*(1+Inputs!$B$7)/Inputs!$B$6))</f>
        <v/>
      </c>
      <c r="I14" s="41" t="str">
        <f t="shared" si="1"/>
        <v/>
      </c>
      <c r="J14" s="41" t="str">
        <f>IF(OR(A14="",D14=""),"",MIN(D14,Inputs!$B$10))</f>
        <v/>
      </c>
      <c r="K14" s="41" t="str">
        <f t="shared" si="2"/>
        <v/>
      </c>
      <c r="L14" s="41" t="str">
        <f t="shared" si="3"/>
        <v/>
      </c>
      <c r="M14" s="41" t="str">
        <f t="shared" si="4"/>
        <v/>
      </c>
      <c r="N14" s="42" t="str">
        <f t="shared" si="5"/>
        <v/>
      </c>
      <c r="O14" s="41" t="str">
        <f>IF(OR(A14="",E14=""),"",MOD(E14-Inputs!$B$12,1)*24)</f>
        <v/>
      </c>
      <c r="P14" s="41" t="str">
        <f t="shared" si="6"/>
        <v/>
      </c>
      <c r="Q14" s="43" t="str">
        <f t="shared" si="7"/>
        <v/>
      </c>
      <c r="R14" s="26"/>
    </row>
    <row r="15" spans="1:18">
      <c r="A15" s="36"/>
      <c r="B15" s="37"/>
      <c r="C15" s="37"/>
      <c r="D15" s="37"/>
      <c r="E15" s="38"/>
      <c r="F15" s="39"/>
      <c r="G15" s="40" t="str">
        <f t="shared" si="0"/>
        <v/>
      </c>
      <c r="H15" s="41" t="str">
        <f>IF(G15="","",IF(Inputs!$B$6&lt;=0,"",G15*(1+Inputs!$B$7)/Inputs!$B$6))</f>
        <v/>
      </c>
      <c r="I15" s="41" t="str">
        <f t="shared" si="1"/>
        <v/>
      </c>
      <c r="J15" s="41" t="str">
        <f>IF(OR(A15="",D15=""),"",MIN(D15,Inputs!$B$10))</f>
        <v/>
      </c>
      <c r="K15" s="41" t="str">
        <f t="shared" si="2"/>
        <v/>
      </c>
      <c r="L15" s="41" t="str">
        <f t="shared" si="3"/>
        <v/>
      </c>
      <c r="M15" s="41" t="str">
        <f t="shared" si="4"/>
        <v/>
      </c>
      <c r="N15" s="42" t="str">
        <f t="shared" si="5"/>
        <v/>
      </c>
      <c r="O15" s="41" t="str">
        <f>IF(OR(A15="",E15=""),"",MOD(E15-Inputs!$B$12,1)*24)</f>
        <v/>
      </c>
      <c r="P15" s="41" t="str">
        <f t="shared" si="6"/>
        <v/>
      </c>
      <c r="Q15" s="43" t="str">
        <f t="shared" si="7"/>
        <v/>
      </c>
      <c r="R15" s="26"/>
    </row>
    <row r="16" spans="1:18">
      <c r="A16" s="36"/>
      <c r="B16" s="37"/>
      <c r="C16" s="37"/>
      <c r="D16" s="37"/>
      <c r="E16" s="38"/>
      <c r="F16" s="39"/>
      <c r="G16" s="40" t="str">
        <f t="shared" si="0"/>
        <v/>
      </c>
      <c r="H16" s="41" t="str">
        <f>IF(G16="","",IF(Inputs!$B$6&lt;=0,"",G16*(1+Inputs!$B$7)/Inputs!$B$6))</f>
        <v/>
      </c>
      <c r="I16" s="41" t="str">
        <f t="shared" si="1"/>
        <v/>
      </c>
      <c r="J16" s="41" t="str">
        <f>IF(OR(A16="",D16=""),"",MIN(D16,Inputs!$B$10))</f>
        <v/>
      </c>
      <c r="K16" s="41" t="str">
        <f t="shared" si="2"/>
        <v/>
      </c>
      <c r="L16" s="41" t="str">
        <f t="shared" si="3"/>
        <v/>
      </c>
      <c r="M16" s="41" t="str">
        <f t="shared" si="4"/>
        <v/>
      </c>
      <c r="N16" s="42" t="str">
        <f t="shared" si="5"/>
        <v/>
      </c>
      <c r="O16" s="41" t="str">
        <f>IF(OR(A16="",E16=""),"",MOD(E16-Inputs!$B$12,1)*24)</f>
        <v/>
      </c>
      <c r="P16" s="41" t="str">
        <f t="shared" si="6"/>
        <v/>
      </c>
      <c r="Q16" s="43" t="str">
        <f t="shared" si="7"/>
        <v/>
      </c>
      <c r="R16" s="26"/>
    </row>
    <row r="17" spans="1:18">
      <c r="A17" s="36"/>
      <c r="B17" s="37"/>
      <c r="C17" s="37"/>
      <c r="D17" s="37"/>
      <c r="E17" s="38"/>
      <c r="F17" s="39"/>
      <c r="G17" s="40" t="str">
        <f t="shared" si="0"/>
        <v/>
      </c>
      <c r="H17" s="41" t="str">
        <f>IF(G17="","",IF(Inputs!$B$6&lt;=0,"",G17*(1+Inputs!$B$7)/Inputs!$B$6))</f>
        <v/>
      </c>
      <c r="I17" s="41" t="str">
        <f t="shared" si="1"/>
        <v/>
      </c>
      <c r="J17" s="41" t="str">
        <f>IF(OR(A17="",D17=""),"",MIN(D17,Inputs!$B$10))</f>
        <v/>
      </c>
      <c r="K17" s="41" t="str">
        <f t="shared" si="2"/>
        <v/>
      </c>
      <c r="L17" s="41" t="str">
        <f t="shared" si="3"/>
        <v/>
      </c>
      <c r="M17" s="41" t="str">
        <f t="shared" si="4"/>
        <v/>
      </c>
      <c r="N17" s="42" t="str">
        <f t="shared" si="5"/>
        <v/>
      </c>
      <c r="O17" s="41" t="str">
        <f>IF(OR(A17="",E17=""),"",MOD(E17-Inputs!$B$12,1)*24)</f>
        <v/>
      </c>
      <c r="P17" s="41" t="str">
        <f t="shared" si="6"/>
        <v/>
      </c>
      <c r="Q17" s="43" t="str">
        <f t="shared" si="7"/>
        <v/>
      </c>
      <c r="R17" s="26"/>
    </row>
    <row r="18" spans="1:18">
      <c r="A18" s="36"/>
      <c r="B18" s="37"/>
      <c r="C18" s="37"/>
      <c r="D18" s="37"/>
      <c r="E18" s="38"/>
      <c r="F18" s="39"/>
      <c r="G18" s="40" t="str">
        <f t="shared" si="0"/>
        <v/>
      </c>
      <c r="H18" s="41" t="str">
        <f>IF(G18="","",IF(Inputs!$B$6&lt;=0,"",G18*(1+Inputs!$B$7)/Inputs!$B$6))</f>
        <v/>
      </c>
      <c r="I18" s="41" t="str">
        <f t="shared" si="1"/>
        <v/>
      </c>
      <c r="J18" s="41" t="str">
        <f>IF(OR(A18="",D18=""),"",MIN(D18,Inputs!$B$10))</f>
        <v/>
      </c>
      <c r="K18" s="41" t="str">
        <f t="shared" si="2"/>
        <v/>
      </c>
      <c r="L18" s="41" t="str">
        <f t="shared" si="3"/>
        <v/>
      </c>
      <c r="M18" s="41" t="str">
        <f t="shared" si="4"/>
        <v/>
      </c>
      <c r="N18" s="42" t="str">
        <f t="shared" si="5"/>
        <v/>
      </c>
      <c r="O18" s="41" t="str">
        <f>IF(OR(A18="",E18=""),"",MOD(E18-Inputs!$B$12,1)*24)</f>
        <v/>
      </c>
      <c r="P18" s="41" t="str">
        <f t="shared" si="6"/>
        <v/>
      </c>
      <c r="Q18" s="43" t="str">
        <f t="shared" si="7"/>
        <v/>
      </c>
      <c r="R18" s="26"/>
    </row>
    <row r="19" spans="1:18">
      <c r="A19" s="36"/>
      <c r="B19" s="37"/>
      <c r="C19" s="37"/>
      <c r="D19" s="37"/>
      <c r="E19" s="38"/>
      <c r="F19" s="39"/>
      <c r="G19" s="40" t="str">
        <f t="shared" si="0"/>
        <v/>
      </c>
      <c r="H19" s="41" t="str">
        <f>IF(G19="","",IF(Inputs!$B$6&lt;=0,"",G19*(1+Inputs!$B$7)/Inputs!$B$6))</f>
        <v/>
      </c>
      <c r="I19" s="41" t="str">
        <f t="shared" si="1"/>
        <v/>
      </c>
      <c r="J19" s="41" t="str">
        <f>IF(OR(A19="",D19=""),"",MIN(D19,Inputs!$B$10))</f>
        <v/>
      </c>
      <c r="K19" s="41" t="str">
        <f t="shared" si="2"/>
        <v/>
      </c>
      <c r="L19" s="41" t="str">
        <f t="shared" si="3"/>
        <v/>
      </c>
      <c r="M19" s="41" t="str">
        <f t="shared" si="4"/>
        <v/>
      </c>
      <c r="N19" s="42" t="str">
        <f t="shared" si="5"/>
        <v/>
      </c>
      <c r="O19" s="41" t="str">
        <f>IF(OR(A19="",E19=""),"",MOD(E19-Inputs!$B$12,1)*24)</f>
        <v/>
      </c>
      <c r="P19" s="41" t="str">
        <f t="shared" si="6"/>
        <v/>
      </c>
      <c r="Q19" s="43" t="str">
        <f t="shared" si="7"/>
        <v/>
      </c>
      <c r="R19" s="26"/>
    </row>
    <row r="20" spans="1:18">
      <c r="A20" s="36"/>
      <c r="B20" s="37"/>
      <c r="C20" s="37"/>
      <c r="D20" s="37"/>
      <c r="E20" s="38"/>
      <c r="F20" s="39"/>
      <c r="G20" s="40" t="str">
        <f t="shared" si="0"/>
        <v/>
      </c>
      <c r="H20" s="41" t="str">
        <f>IF(G20="","",IF(Inputs!$B$6&lt;=0,"",G20*(1+Inputs!$B$7)/Inputs!$B$6))</f>
        <v/>
      </c>
      <c r="I20" s="41" t="str">
        <f t="shared" si="1"/>
        <v/>
      </c>
      <c r="J20" s="41" t="str">
        <f>IF(OR(A20="",D20=""),"",MIN(D20,Inputs!$B$10))</f>
        <v/>
      </c>
      <c r="K20" s="41" t="str">
        <f t="shared" si="2"/>
        <v/>
      </c>
      <c r="L20" s="41" t="str">
        <f t="shared" si="3"/>
        <v/>
      </c>
      <c r="M20" s="41" t="str">
        <f t="shared" si="4"/>
        <v/>
      </c>
      <c r="N20" s="42" t="str">
        <f t="shared" si="5"/>
        <v/>
      </c>
      <c r="O20" s="41" t="str">
        <f>IF(OR(A20="",E20=""),"",MOD(E20-Inputs!$B$12,1)*24)</f>
        <v/>
      </c>
      <c r="P20" s="41" t="str">
        <f t="shared" si="6"/>
        <v/>
      </c>
      <c r="Q20" s="43" t="str">
        <f t="shared" si="7"/>
        <v/>
      </c>
      <c r="R20" s="26"/>
    </row>
    <row r="21" spans="1:18">
      <c r="A21" s="36"/>
      <c r="B21" s="37"/>
      <c r="C21" s="37"/>
      <c r="D21" s="37"/>
      <c r="E21" s="38"/>
      <c r="F21" s="39"/>
      <c r="G21" s="40" t="str">
        <f t="shared" si="0"/>
        <v/>
      </c>
      <c r="H21" s="41" t="str">
        <f>IF(G21="","",IF(Inputs!$B$6&lt;=0,"",G21*(1+Inputs!$B$7)/Inputs!$B$6))</f>
        <v/>
      </c>
      <c r="I21" s="41" t="str">
        <f t="shared" si="1"/>
        <v/>
      </c>
      <c r="J21" s="41" t="str">
        <f>IF(OR(A21="",D21=""),"",MIN(D21,Inputs!$B$10))</f>
        <v/>
      </c>
      <c r="K21" s="41" t="str">
        <f t="shared" si="2"/>
        <v/>
      </c>
      <c r="L21" s="41" t="str">
        <f t="shared" si="3"/>
        <v/>
      </c>
      <c r="M21" s="41" t="str">
        <f t="shared" si="4"/>
        <v/>
      </c>
      <c r="N21" s="42" t="str">
        <f t="shared" si="5"/>
        <v/>
      </c>
      <c r="O21" s="41" t="str">
        <f>IF(OR(A21="",E21=""),"",MOD(E21-Inputs!$B$12,1)*24)</f>
        <v/>
      </c>
      <c r="P21" s="41" t="str">
        <f t="shared" si="6"/>
        <v/>
      </c>
      <c r="Q21" s="43" t="str">
        <f t="shared" si="7"/>
        <v/>
      </c>
      <c r="R21" s="26"/>
    </row>
    <row r="22" spans="1:18">
      <c r="A22" s="36"/>
      <c r="B22" s="37"/>
      <c r="C22" s="37"/>
      <c r="D22" s="37"/>
      <c r="E22" s="38"/>
      <c r="F22" s="39"/>
      <c r="G22" s="40" t="str">
        <f t="shared" si="0"/>
        <v/>
      </c>
      <c r="H22" s="41" t="str">
        <f>IF(G22="","",IF(Inputs!$B$6&lt;=0,"",G22*(1+Inputs!$B$7)/Inputs!$B$6))</f>
        <v/>
      </c>
      <c r="I22" s="41" t="str">
        <f t="shared" si="1"/>
        <v/>
      </c>
      <c r="J22" s="41" t="str">
        <f>IF(OR(A22="",D22=""),"",MIN(D22,Inputs!$B$10))</f>
        <v/>
      </c>
      <c r="K22" s="41" t="str">
        <f t="shared" si="2"/>
        <v/>
      </c>
      <c r="L22" s="41" t="str">
        <f t="shared" si="3"/>
        <v/>
      </c>
      <c r="M22" s="41" t="str">
        <f t="shared" si="4"/>
        <v/>
      </c>
      <c r="N22" s="42" t="str">
        <f t="shared" si="5"/>
        <v/>
      </c>
      <c r="O22" s="41" t="str">
        <f>IF(OR(A22="",E22=""),"",MOD(E22-Inputs!$B$12,1)*24)</f>
        <v/>
      </c>
      <c r="P22" s="41" t="str">
        <f t="shared" si="6"/>
        <v/>
      </c>
      <c r="Q22" s="43" t="str">
        <f t="shared" si="7"/>
        <v/>
      </c>
      <c r="R22" s="26"/>
    </row>
    <row r="23" spans="1:18">
      <c r="A23" s="36"/>
      <c r="B23" s="37"/>
      <c r="C23" s="37"/>
      <c r="D23" s="37"/>
      <c r="E23" s="38"/>
      <c r="F23" s="39"/>
      <c r="G23" s="40" t="str">
        <f t="shared" si="0"/>
        <v/>
      </c>
      <c r="H23" s="41" t="str">
        <f>IF(G23="","",IF(Inputs!$B$6&lt;=0,"",G23*(1+Inputs!$B$7)/Inputs!$B$6))</f>
        <v/>
      </c>
      <c r="I23" s="41" t="str">
        <f t="shared" si="1"/>
        <v/>
      </c>
      <c r="J23" s="41" t="str">
        <f>IF(OR(A23="",D23=""),"",MIN(D23,Inputs!$B$10))</f>
        <v/>
      </c>
      <c r="K23" s="41" t="str">
        <f t="shared" si="2"/>
        <v/>
      </c>
      <c r="L23" s="41" t="str">
        <f t="shared" si="3"/>
        <v/>
      </c>
      <c r="M23" s="41" t="str">
        <f t="shared" si="4"/>
        <v/>
      </c>
      <c r="N23" s="42" t="str">
        <f t="shared" si="5"/>
        <v/>
      </c>
      <c r="O23" s="41" t="str">
        <f>IF(OR(A23="",E23=""),"",MOD(E23-Inputs!$B$12,1)*24)</f>
        <v/>
      </c>
      <c r="P23" s="41" t="str">
        <f t="shared" si="6"/>
        <v/>
      </c>
      <c r="Q23" s="43" t="str">
        <f t="shared" si="7"/>
        <v/>
      </c>
      <c r="R23" s="26"/>
    </row>
    <row r="24" spans="1:18">
      <c r="A24" s="36"/>
      <c r="B24" s="37"/>
      <c r="C24" s="37"/>
      <c r="D24" s="37"/>
      <c r="E24" s="38"/>
      <c r="F24" s="39"/>
      <c r="G24" s="40" t="str">
        <f t="shared" si="0"/>
        <v/>
      </c>
      <c r="H24" s="41" t="str">
        <f>IF(G24="","",IF(Inputs!$B$6&lt;=0,"",G24*(1+Inputs!$B$7)/Inputs!$B$6))</f>
        <v/>
      </c>
      <c r="I24" s="41" t="str">
        <f t="shared" si="1"/>
        <v/>
      </c>
      <c r="J24" s="41" t="str">
        <f>IF(OR(A24="",D24=""),"",MIN(D24,Inputs!$B$10))</f>
        <v/>
      </c>
      <c r="K24" s="41" t="str">
        <f t="shared" si="2"/>
        <v/>
      </c>
      <c r="L24" s="41" t="str">
        <f t="shared" si="3"/>
        <v/>
      </c>
      <c r="M24" s="41" t="str">
        <f t="shared" si="4"/>
        <v/>
      </c>
      <c r="N24" s="42" t="str">
        <f t="shared" si="5"/>
        <v/>
      </c>
      <c r="O24" s="41" t="str">
        <f>IF(OR(A24="",E24=""),"",MOD(E24-Inputs!$B$12,1)*24)</f>
        <v/>
      </c>
      <c r="P24" s="41" t="str">
        <f t="shared" si="6"/>
        <v/>
      </c>
      <c r="Q24" s="43" t="str">
        <f t="shared" si="7"/>
        <v/>
      </c>
      <c r="R24" s="26"/>
    </row>
    <row r="25" spans="1:18">
      <c r="A25" s="36"/>
      <c r="B25" s="37"/>
      <c r="C25" s="37"/>
      <c r="D25" s="37"/>
      <c r="E25" s="38"/>
      <c r="F25" s="39"/>
      <c r="G25" s="40" t="str">
        <f t="shared" si="0"/>
        <v/>
      </c>
      <c r="H25" s="41" t="str">
        <f>IF(G25="","",IF(Inputs!$B$6&lt;=0,"",G25*(1+Inputs!$B$7)/Inputs!$B$6))</f>
        <v/>
      </c>
      <c r="I25" s="41" t="str">
        <f t="shared" si="1"/>
        <v/>
      </c>
      <c r="J25" s="41" t="str">
        <f>IF(OR(A25="",D25=""),"",MIN(D25,Inputs!$B$10))</f>
        <v/>
      </c>
      <c r="K25" s="41" t="str">
        <f t="shared" si="2"/>
        <v/>
      </c>
      <c r="L25" s="41" t="str">
        <f t="shared" si="3"/>
        <v/>
      </c>
      <c r="M25" s="41" t="str">
        <f t="shared" si="4"/>
        <v/>
      </c>
      <c r="N25" s="42" t="str">
        <f t="shared" si="5"/>
        <v/>
      </c>
      <c r="O25" s="41" t="str">
        <f>IF(OR(A25="",E25=""),"",MOD(E25-Inputs!$B$12,1)*24)</f>
        <v/>
      </c>
      <c r="P25" s="41" t="str">
        <f t="shared" si="6"/>
        <v/>
      </c>
      <c r="Q25" s="43" t="str">
        <f t="shared" si="7"/>
        <v/>
      </c>
      <c r="R25" s="26"/>
    </row>
    <row r="26" spans="1:18">
      <c r="A26" s="36"/>
      <c r="B26" s="37"/>
      <c r="C26" s="37"/>
      <c r="D26" s="37"/>
      <c r="E26" s="38"/>
      <c r="F26" s="39"/>
      <c r="G26" s="40" t="str">
        <f t="shared" si="0"/>
        <v/>
      </c>
      <c r="H26" s="41" t="str">
        <f>IF(G26="","",IF(Inputs!$B$6&lt;=0,"",G26*(1+Inputs!$B$7)/Inputs!$B$6))</f>
        <v/>
      </c>
      <c r="I26" s="41" t="str">
        <f t="shared" si="1"/>
        <v/>
      </c>
      <c r="J26" s="41" t="str">
        <f>IF(OR(A26="",D26=""),"",MIN(D26,Inputs!$B$10))</f>
        <v/>
      </c>
      <c r="K26" s="41" t="str">
        <f t="shared" si="2"/>
        <v/>
      </c>
      <c r="L26" s="41" t="str">
        <f t="shared" si="3"/>
        <v/>
      </c>
      <c r="M26" s="41" t="str">
        <f t="shared" si="4"/>
        <v/>
      </c>
      <c r="N26" s="42" t="str">
        <f t="shared" si="5"/>
        <v/>
      </c>
      <c r="O26" s="41" t="str">
        <f>IF(OR(A26="",E26=""),"",MOD(E26-Inputs!$B$12,1)*24)</f>
        <v/>
      </c>
      <c r="P26" s="41" t="str">
        <f t="shared" si="6"/>
        <v/>
      </c>
      <c r="Q26" s="43" t="str">
        <f t="shared" si="7"/>
        <v/>
      </c>
      <c r="R26" s="26"/>
    </row>
    <row r="27" spans="1:18">
      <c r="A27" s="36"/>
      <c r="B27" s="37"/>
      <c r="C27" s="37"/>
      <c r="D27" s="37"/>
      <c r="E27" s="38"/>
      <c r="F27" s="39"/>
      <c r="G27" s="40" t="str">
        <f t="shared" si="0"/>
        <v/>
      </c>
      <c r="H27" s="41" t="str">
        <f>IF(G27="","",IF(Inputs!$B$6&lt;=0,"",G27*(1+Inputs!$B$7)/Inputs!$B$6))</f>
        <v/>
      </c>
      <c r="I27" s="41" t="str">
        <f t="shared" si="1"/>
        <v/>
      </c>
      <c r="J27" s="41" t="str">
        <f>IF(OR(A27="",D27=""),"",MIN(D27,Inputs!$B$10))</f>
        <v/>
      </c>
      <c r="K27" s="41" t="str">
        <f t="shared" si="2"/>
        <v/>
      </c>
      <c r="L27" s="41" t="str">
        <f t="shared" si="3"/>
        <v/>
      </c>
      <c r="M27" s="41" t="str">
        <f t="shared" si="4"/>
        <v/>
      </c>
      <c r="N27" s="42" t="str">
        <f t="shared" si="5"/>
        <v/>
      </c>
      <c r="O27" s="41" t="str">
        <f>IF(OR(A27="",E27=""),"",MOD(E27-Inputs!$B$12,1)*24)</f>
        <v/>
      </c>
      <c r="P27" s="41" t="str">
        <f t="shared" si="6"/>
        <v/>
      </c>
      <c r="Q27" s="43" t="str">
        <f t="shared" si="7"/>
        <v/>
      </c>
      <c r="R27" s="26"/>
    </row>
    <row r="28" spans="1:18">
      <c r="A28" s="36"/>
      <c r="B28" s="37"/>
      <c r="C28" s="37"/>
      <c r="D28" s="37"/>
      <c r="E28" s="38"/>
      <c r="F28" s="39"/>
      <c r="G28" s="40" t="str">
        <f t="shared" si="0"/>
        <v/>
      </c>
      <c r="H28" s="41" t="str">
        <f>IF(G28="","",IF(Inputs!$B$6&lt;=0,"",G28*(1+Inputs!$B$7)/Inputs!$B$6))</f>
        <v/>
      </c>
      <c r="I28" s="41" t="str">
        <f t="shared" si="1"/>
        <v/>
      </c>
      <c r="J28" s="41" t="str">
        <f>IF(OR(A28="",D28=""),"",MIN(D28,Inputs!$B$10))</f>
        <v/>
      </c>
      <c r="K28" s="41" t="str">
        <f t="shared" si="2"/>
        <v/>
      </c>
      <c r="L28" s="41" t="str">
        <f t="shared" si="3"/>
        <v/>
      </c>
      <c r="M28" s="41" t="str">
        <f t="shared" si="4"/>
        <v/>
      </c>
      <c r="N28" s="42" t="str">
        <f t="shared" si="5"/>
        <v/>
      </c>
      <c r="O28" s="41" t="str">
        <f>IF(OR(A28="",E28=""),"",MOD(E28-Inputs!$B$12,1)*24)</f>
        <v/>
      </c>
      <c r="P28" s="41" t="str">
        <f t="shared" si="6"/>
        <v/>
      </c>
      <c r="Q28" s="43" t="str">
        <f t="shared" si="7"/>
        <v/>
      </c>
      <c r="R28" s="26"/>
    </row>
    <row r="29" spans="1:18">
      <c r="A29" s="36"/>
      <c r="B29" s="37"/>
      <c r="C29" s="37"/>
      <c r="D29" s="37"/>
      <c r="E29" s="38"/>
      <c r="F29" s="39"/>
      <c r="G29" s="40" t="str">
        <f t="shared" si="0"/>
        <v/>
      </c>
      <c r="H29" s="41" t="str">
        <f>IF(G29="","",IF(Inputs!$B$6&lt;=0,"",G29*(1+Inputs!$B$7)/Inputs!$B$6))</f>
        <v/>
      </c>
      <c r="I29" s="41" t="str">
        <f t="shared" si="1"/>
        <v/>
      </c>
      <c r="J29" s="41" t="str">
        <f>IF(OR(A29="",D29=""),"",MIN(D29,Inputs!$B$10))</f>
        <v/>
      </c>
      <c r="K29" s="41" t="str">
        <f t="shared" si="2"/>
        <v/>
      </c>
      <c r="L29" s="41" t="str">
        <f t="shared" si="3"/>
        <v/>
      </c>
      <c r="M29" s="41" t="str">
        <f t="shared" si="4"/>
        <v/>
      </c>
      <c r="N29" s="42" t="str">
        <f t="shared" si="5"/>
        <v/>
      </c>
      <c r="O29" s="41" t="str">
        <f>IF(OR(A29="",E29=""),"",MOD(E29-Inputs!$B$12,1)*24)</f>
        <v/>
      </c>
      <c r="P29" s="41" t="str">
        <f t="shared" si="6"/>
        <v/>
      </c>
      <c r="Q29" s="43" t="str">
        <f t="shared" si="7"/>
        <v/>
      </c>
      <c r="R29" s="26"/>
    </row>
    <row r="30" spans="1:18">
      <c r="A30" s="36"/>
      <c r="B30" s="37"/>
      <c r="C30" s="37"/>
      <c r="D30" s="37"/>
      <c r="E30" s="38"/>
      <c r="F30" s="39"/>
      <c r="G30" s="40" t="str">
        <f t="shared" si="0"/>
        <v/>
      </c>
      <c r="H30" s="41" t="str">
        <f>IF(G30="","",IF(Inputs!$B$6&lt;=0,"",G30*(1+Inputs!$B$7)/Inputs!$B$6))</f>
        <v/>
      </c>
      <c r="I30" s="41" t="str">
        <f t="shared" si="1"/>
        <v/>
      </c>
      <c r="J30" s="41" t="str">
        <f>IF(OR(A30="",D30=""),"",MIN(D30,Inputs!$B$10))</f>
        <v/>
      </c>
      <c r="K30" s="41" t="str">
        <f t="shared" si="2"/>
        <v/>
      </c>
      <c r="L30" s="41" t="str">
        <f t="shared" si="3"/>
        <v/>
      </c>
      <c r="M30" s="41" t="str">
        <f t="shared" si="4"/>
        <v/>
      </c>
      <c r="N30" s="42" t="str">
        <f t="shared" si="5"/>
        <v/>
      </c>
      <c r="O30" s="41" t="str">
        <f>IF(OR(A30="",E30=""),"",MOD(E30-Inputs!$B$12,1)*24)</f>
        <v/>
      </c>
      <c r="P30" s="41" t="str">
        <f t="shared" si="6"/>
        <v/>
      </c>
      <c r="Q30" s="43" t="str">
        <f t="shared" si="7"/>
        <v/>
      </c>
      <c r="R30" s="26"/>
    </row>
    <row r="31" spans="1:18">
      <c r="A31" s="36"/>
      <c r="B31" s="37"/>
      <c r="C31" s="37"/>
      <c r="D31" s="37"/>
      <c r="E31" s="38"/>
      <c r="F31" s="39"/>
      <c r="G31" s="40" t="str">
        <f t="shared" si="0"/>
        <v/>
      </c>
      <c r="H31" s="41" t="str">
        <f>IF(G31="","",IF(Inputs!$B$6&lt;=0,"",G31*(1+Inputs!$B$7)/Inputs!$B$6))</f>
        <v/>
      </c>
      <c r="I31" s="41" t="str">
        <f t="shared" si="1"/>
        <v/>
      </c>
      <c r="J31" s="41" t="str">
        <f>IF(OR(A31="",D31=""),"",MIN(D31,Inputs!$B$10))</f>
        <v/>
      </c>
      <c r="K31" s="41" t="str">
        <f t="shared" si="2"/>
        <v/>
      </c>
      <c r="L31" s="41" t="str">
        <f t="shared" si="3"/>
        <v/>
      </c>
      <c r="M31" s="41" t="str">
        <f t="shared" si="4"/>
        <v/>
      </c>
      <c r="N31" s="42" t="str">
        <f t="shared" si="5"/>
        <v/>
      </c>
      <c r="O31" s="41" t="str">
        <f>IF(OR(A31="",E31=""),"",MOD(E31-Inputs!$B$12,1)*24)</f>
        <v/>
      </c>
      <c r="P31" s="41" t="str">
        <f t="shared" si="6"/>
        <v/>
      </c>
      <c r="Q31" s="43" t="str">
        <f t="shared" si="7"/>
        <v/>
      </c>
      <c r="R31" s="26"/>
    </row>
    <row r="32" spans="1:18">
      <c r="A32" s="36"/>
      <c r="B32" s="37"/>
      <c r="C32" s="37"/>
      <c r="D32" s="37"/>
      <c r="E32" s="38"/>
      <c r="F32" s="39"/>
      <c r="G32" s="40" t="str">
        <f t="shared" si="0"/>
        <v/>
      </c>
      <c r="H32" s="41" t="str">
        <f>IF(G32="","",IF(Inputs!$B$6&lt;=0,"",G32*(1+Inputs!$B$7)/Inputs!$B$6))</f>
        <v/>
      </c>
      <c r="I32" s="41" t="str">
        <f t="shared" si="1"/>
        <v/>
      </c>
      <c r="J32" s="41" t="str">
        <f>IF(OR(A32="",D32=""),"",MIN(D32,Inputs!$B$10))</f>
        <v/>
      </c>
      <c r="K32" s="41" t="str">
        <f t="shared" si="2"/>
        <v/>
      </c>
      <c r="L32" s="41" t="str">
        <f t="shared" si="3"/>
        <v/>
      </c>
      <c r="M32" s="41" t="str">
        <f t="shared" si="4"/>
        <v/>
      </c>
      <c r="N32" s="42" t="str">
        <f t="shared" si="5"/>
        <v/>
      </c>
      <c r="O32" s="41" t="str">
        <f>IF(OR(A32="",E32=""),"",MOD(E32-Inputs!$B$12,1)*24)</f>
        <v/>
      </c>
      <c r="P32" s="41" t="str">
        <f t="shared" si="6"/>
        <v/>
      </c>
      <c r="Q32" s="43" t="str">
        <f t="shared" si="7"/>
        <v/>
      </c>
      <c r="R32" s="26"/>
    </row>
    <row r="33" spans="1:18">
      <c r="A33" s="36"/>
      <c r="B33" s="37"/>
      <c r="C33" s="37"/>
      <c r="D33" s="37"/>
      <c r="E33" s="38"/>
      <c r="F33" s="39"/>
      <c r="G33" s="40" t="str">
        <f t="shared" si="0"/>
        <v/>
      </c>
      <c r="H33" s="41" t="str">
        <f>IF(G33="","",IF(Inputs!$B$6&lt;=0,"",G33*(1+Inputs!$B$7)/Inputs!$B$6))</f>
        <v/>
      </c>
      <c r="I33" s="41" t="str">
        <f t="shared" si="1"/>
        <v/>
      </c>
      <c r="J33" s="41" t="str">
        <f>IF(OR(A33="",D33=""),"",MIN(D33,Inputs!$B$10))</f>
        <v/>
      </c>
      <c r="K33" s="41" t="str">
        <f t="shared" si="2"/>
        <v/>
      </c>
      <c r="L33" s="41" t="str">
        <f t="shared" si="3"/>
        <v/>
      </c>
      <c r="M33" s="41" t="str">
        <f t="shared" si="4"/>
        <v/>
      </c>
      <c r="N33" s="42" t="str">
        <f t="shared" si="5"/>
        <v/>
      </c>
      <c r="O33" s="41" t="str">
        <f>IF(OR(A33="",E33=""),"",MOD(E33-Inputs!$B$12,1)*24)</f>
        <v/>
      </c>
      <c r="P33" s="41" t="str">
        <f t="shared" si="6"/>
        <v/>
      </c>
      <c r="Q33" s="43" t="str">
        <f t="shared" si="7"/>
        <v/>
      </c>
      <c r="R33" s="26"/>
    </row>
    <row r="34" spans="1:18">
      <c r="A34" s="36"/>
      <c r="B34" s="37"/>
      <c r="C34" s="37"/>
      <c r="D34" s="37"/>
      <c r="E34" s="38"/>
      <c r="F34" s="39"/>
      <c r="G34" s="40" t="str">
        <f t="shared" ref="G34:G51" si="8">IF(OR(A34="",B34="",C34=""),"",B34*C34/100)</f>
        <v/>
      </c>
      <c r="H34" s="41" t="str">
        <f>IF(G34="","",IF(Inputs!$B$6&lt;=0,"",G34*(1+Inputs!$B$7)/Inputs!$B$6))</f>
        <v/>
      </c>
      <c r="I34" s="41" t="str">
        <f t="shared" ref="I34:I51" si="9">IF(OR(A34="",E34="",F34=""),"",IF(MOD(F34-E34,1)=0,24,MOD(F34-E34,1)*24))</f>
        <v/>
      </c>
      <c r="J34" s="41" t="str">
        <f>IF(OR(A34="",D34=""),"",MIN(D34,Inputs!$B$10))</f>
        <v/>
      </c>
      <c r="K34" s="41" t="str">
        <f t="shared" ref="K34:K51" si="10">IF(OR(H34="",J34="",J34=0),"",H34/J34)</f>
        <v/>
      </c>
      <c r="L34" s="41" t="str">
        <f t="shared" ref="L34:L51" si="11">IF(OR(I34="",K34=""),"",I34-K34)</f>
        <v/>
      </c>
      <c r="M34" s="41" t="str">
        <f t="shared" ref="M34:M51" si="12">IF(OR(H34="",I34="",I34=0),"",H34/I34)</f>
        <v/>
      </c>
      <c r="N34" s="42" t="str">
        <f t="shared" ref="N34:N51" si="13">IF(OR(K34="",I34=""),"",IF(K34&lt;=I34,"DA","NE"))</f>
        <v/>
      </c>
      <c r="O34" s="41" t="str">
        <f>IF(OR(A34="",E34=""),"",MOD(E34-Inputs!$B$12,1)*24)</f>
        <v/>
      </c>
      <c r="P34" s="41" t="str">
        <f t="shared" ref="P34:P51" si="14">IF(OR(O34="",I34=""),"",O34+I34)</f>
        <v/>
      </c>
      <c r="Q34" s="43" t="str">
        <f t="shared" ref="Q34:Q51" si="15">IF(OR(O34="",K34=""),"",O34+K34)</f>
        <v/>
      </c>
      <c r="R34" s="26"/>
    </row>
    <row r="35" spans="1:18">
      <c r="A35" s="36"/>
      <c r="B35" s="37"/>
      <c r="C35" s="37"/>
      <c r="D35" s="37"/>
      <c r="E35" s="38"/>
      <c r="F35" s="39"/>
      <c r="G35" s="40" t="str">
        <f t="shared" si="8"/>
        <v/>
      </c>
      <c r="H35" s="41" t="str">
        <f>IF(G35="","",IF(Inputs!$B$6&lt;=0,"",G35*(1+Inputs!$B$7)/Inputs!$B$6))</f>
        <v/>
      </c>
      <c r="I35" s="41" t="str">
        <f t="shared" si="9"/>
        <v/>
      </c>
      <c r="J35" s="41" t="str">
        <f>IF(OR(A35="",D35=""),"",MIN(D35,Inputs!$B$10))</f>
        <v/>
      </c>
      <c r="K35" s="41" t="str">
        <f t="shared" si="10"/>
        <v/>
      </c>
      <c r="L35" s="41" t="str">
        <f t="shared" si="11"/>
        <v/>
      </c>
      <c r="M35" s="41" t="str">
        <f t="shared" si="12"/>
        <v/>
      </c>
      <c r="N35" s="42" t="str">
        <f t="shared" si="13"/>
        <v/>
      </c>
      <c r="O35" s="41" t="str">
        <f>IF(OR(A35="",E35=""),"",MOD(E35-Inputs!$B$12,1)*24)</f>
        <v/>
      </c>
      <c r="P35" s="41" t="str">
        <f t="shared" si="14"/>
        <v/>
      </c>
      <c r="Q35" s="43" t="str">
        <f t="shared" si="15"/>
        <v/>
      </c>
      <c r="R35" s="26"/>
    </row>
    <row r="36" spans="1:18">
      <c r="A36" s="36"/>
      <c r="B36" s="37"/>
      <c r="C36" s="37"/>
      <c r="D36" s="37"/>
      <c r="E36" s="38"/>
      <c r="F36" s="39"/>
      <c r="G36" s="40" t="str">
        <f t="shared" si="8"/>
        <v/>
      </c>
      <c r="H36" s="41" t="str">
        <f>IF(G36="","",IF(Inputs!$B$6&lt;=0,"",G36*(1+Inputs!$B$7)/Inputs!$B$6))</f>
        <v/>
      </c>
      <c r="I36" s="41" t="str">
        <f t="shared" si="9"/>
        <v/>
      </c>
      <c r="J36" s="41" t="str">
        <f>IF(OR(A36="",D36=""),"",MIN(D36,Inputs!$B$10))</f>
        <v/>
      </c>
      <c r="K36" s="41" t="str">
        <f t="shared" si="10"/>
        <v/>
      </c>
      <c r="L36" s="41" t="str">
        <f t="shared" si="11"/>
        <v/>
      </c>
      <c r="M36" s="41" t="str">
        <f t="shared" si="12"/>
        <v/>
      </c>
      <c r="N36" s="42" t="str">
        <f t="shared" si="13"/>
        <v/>
      </c>
      <c r="O36" s="41" t="str">
        <f>IF(OR(A36="",E36=""),"",MOD(E36-Inputs!$B$12,1)*24)</f>
        <v/>
      </c>
      <c r="P36" s="41" t="str">
        <f t="shared" si="14"/>
        <v/>
      </c>
      <c r="Q36" s="43" t="str">
        <f t="shared" si="15"/>
        <v/>
      </c>
      <c r="R36" s="26"/>
    </row>
    <row r="37" spans="1:18">
      <c r="A37" s="36"/>
      <c r="B37" s="37"/>
      <c r="C37" s="37"/>
      <c r="D37" s="37"/>
      <c r="E37" s="38"/>
      <c r="F37" s="39"/>
      <c r="G37" s="40" t="str">
        <f t="shared" si="8"/>
        <v/>
      </c>
      <c r="H37" s="41" t="str">
        <f>IF(G37="","",IF(Inputs!$B$6&lt;=0,"",G37*(1+Inputs!$B$7)/Inputs!$B$6))</f>
        <v/>
      </c>
      <c r="I37" s="41" t="str">
        <f t="shared" si="9"/>
        <v/>
      </c>
      <c r="J37" s="41" t="str">
        <f>IF(OR(A37="",D37=""),"",MIN(D37,Inputs!$B$10))</f>
        <v/>
      </c>
      <c r="K37" s="41" t="str">
        <f t="shared" si="10"/>
        <v/>
      </c>
      <c r="L37" s="41" t="str">
        <f t="shared" si="11"/>
        <v/>
      </c>
      <c r="M37" s="41" t="str">
        <f t="shared" si="12"/>
        <v/>
      </c>
      <c r="N37" s="42" t="str">
        <f t="shared" si="13"/>
        <v/>
      </c>
      <c r="O37" s="41" t="str">
        <f>IF(OR(A37="",E37=""),"",MOD(E37-Inputs!$B$12,1)*24)</f>
        <v/>
      </c>
      <c r="P37" s="41" t="str">
        <f t="shared" si="14"/>
        <v/>
      </c>
      <c r="Q37" s="43" t="str">
        <f t="shared" si="15"/>
        <v/>
      </c>
      <c r="R37" s="26"/>
    </row>
    <row r="38" spans="1:18">
      <c r="A38" s="36"/>
      <c r="B38" s="37"/>
      <c r="C38" s="37"/>
      <c r="D38" s="37"/>
      <c r="E38" s="38"/>
      <c r="F38" s="39"/>
      <c r="G38" s="40" t="str">
        <f t="shared" si="8"/>
        <v/>
      </c>
      <c r="H38" s="41" t="str">
        <f>IF(G38="","",IF(Inputs!$B$6&lt;=0,"",G38*(1+Inputs!$B$7)/Inputs!$B$6))</f>
        <v/>
      </c>
      <c r="I38" s="41" t="str">
        <f t="shared" si="9"/>
        <v/>
      </c>
      <c r="J38" s="41" t="str">
        <f>IF(OR(A38="",D38=""),"",MIN(D38,Inputs!$B$10))</f>
        <v/>
      </c>
      <c r="K38" s="41" t="str">
        <f t="shared" si="10"/>
        <v/>
      </c>
      <c r="L38" s="41" t="str">
        <f t="shared" si="11"/>
        <v/>
      </c>
      <c r="M38" s="41" t="str">
        <f t="shared" si="12"/>
        <v/>
      </c>
      <c r="N38" s="42" t="str">
        <f t="shared" si="13"/>
        <v/>
      </c>
      <c r="O38" s="41" t="str">
        <f>IF(OR(A38="",E38=""),"",MOD(E38-Inputs!$B$12,1)*24)</f>
        <v/>
      </c>
      <c r="P38" s="41" t="str">
        <f t="shared" si="14"/>
        <v/>
      </c>
      <c r="Q38" s="43" t="str">
        <f t="shared" si="15"/>
        <v/>
      </c>
      <c r="R38" s="26"/>
    </row>
    <row r="39" spans="1:18">
      <c r="A39" s="36"/>
      <c r="B39" s="37"/>
      <c r="C39" s="37"/>
      <c r="D39" s="37"/>
      <c r="E39" s="38"/>
      <c r="F39" s="39"/>
      <c r="G39" s="40" t="str">
        <f t="shared" si="8"/>
        <v/>
      </c>
      <c r="H39" s="41" t="str">
        <f>IF(G39="","",IF(Inputs!$B$6&lt;=0,"",G39*(1+Inputs!$B$7)/Inputs!$B$6))</f>
        <v/>
      </c>
      <c r="I39" s="41" t="str">
        <f t="shared" si="9"/>
        <v/>
      </c>
      <c r="J39" s="41" t="str">
        <f>IF(OR(A39="",D39=""),"",MIN(D39,Inputs!$B$10))</f>
        <v/>
      </c>
      <c r="K39" s="41" t="str">
        <f t="shared" si="10"/>
        <v/>
      </c>
      <c r="L39" s="41" t="str">
        <f t="shared" si="11"/>
        <v/>
      </c>
      <c r="M39" s="41" t="str">
        <f t="shared" si="12"/>
        <v/>
      </c>
      <c r="N39" s="42" t="str">
        <f t="shared" si="13"/>
        <v/>
      </c>
      <c r="O39" s="41" t="str">
        <f>IF(OR(A39="",E39=""),"",MOD(E39-Inputs!$B$12,1)*24)</f>
        <v/>
      </c>
      <c r="P39" s="41" t="str">
        <f t="shared" si="14"/>
        <v/>
      </c>
      <c r="Q39" s="43" t="str">
        <f t="shared" si="15"/>
        <v/>
      </c>
      <c r="R39" s="26"/>
    </row>
    <row r="40" spans="1:18">
      <c r="A40" s="36"/>
      <c r="B40" s="37"/>
      <c r="C40" s="37"/>
      <c r="D40" s="37"/>
      <c r="E40" s="38"/>
      <c r="F40" s="39"/>
      <c r="G40" s="40" t="str">
        <f t="shared" si="8"/>
        <v/>
      </c>
      <c r="H40" s="41" t="str">
        <f>IF(G40="","",IF(Inputs!$B$6&lt;=0,"",G40*(1+Inputs!$B$7)/Inputs!$B$6))</f>
        <v/>
      </c>
      <c r="I40" s="41" t="str">
        <f t="shared" si="9"/>
        <v/>
      </c>
      <c r="J40" s="41" t="str">
        <f>IF(OR(A40="",D40=""),"",MIN(D40,Inputs!$B$10))</f>
        <v/>
      </c>
      <c r="K40" s="41" t="str">
        <f t="shared" si="10"/>
        <v/>
      </c>
      <c r="L40" s="41" t="str">
        <f t="shared" si="11"/>
        <v/>
      </c>
      <c r="M40" s="41" t="str">
        <f t="shared" si="12"/>
        <v/>
      </c>
      <c r="N40" s="42" t="str">
        <f t="shared" si="13"/>
        <v/>
      </c>
      <c r="O40" s="41" t="str">
        <f>IF(OR(A40="",E40=""),"",MOD(E40-Inputs!$B$12,1)*24)</f>
        <v/>
      </c>
      <c r="P40" s="41" t="str">
        <f t="shared" si="14"/>
        <v/>
      </c>
      <c r="Q40" s="43" t="str">
        <f t="shared" si="15"/>
        <v/>
      </c>
      <c r="R40" s="26"/>
    </row>
    <row r="41" spans="1:18">
      <c r="A41" s="36"/>
      <c r="B41" s="37"/>
      <c r="C41" s="37"/>
      <c r="D41" s="37"/>
      <c r="E41" s="38"/>
      <c r="F41" s="39"/>
      <c r="G41" s="40" t="str">
        <f t="shared" si="8"/>
        <v/>
      </c>
      <c r="H41" s="41" t="str">
        <f>IF(G41="","",IF(Inputs!$B$6&lt;=0,"",G41*(1+Inputs!$B$7)/Inputs!$B$6))</f>
        <v/>
      </c>
      <c r="I41" s="41" t="str">
        <f t="shared" si="9"/>
        <v/>
      </c>
      <c r="J41" s="41" t="str">
        <f>IF(OR(A41="",D41=""),"",MIN(D41,Inputs!$B$10))</f>
        <v/>
      </c>
      <c r="K41" s="41" t="str">
        <f t="shared" si="10"/>
        <v/>
      </c>
      <c r="L41" s="41" t="str">
        <f t="shared" si="11"/>
        <v/>
      </c>
      <c r="M41" s="41" t="str">
        <f t="shared" si="12"/>
        <v/>
      </c>
      <c r="N41" s="42" t="str">
        <f t="shared" si="13"/>
        <v/>
      </c>
      <c r="O41" s="41" t="str">
        <f>IF(OR(A41="",E41=""),"",MOD(E41-Inputs!$B$12,1)*24)</f>
        <v/>
      </c>
      <c r="P41" s="41" t="str">
        <f t="shared" si="14"/>
        <v/>
      </c>
      <c r="Q41" s="43" t="str">
        <f t="shared" si="15"/>
        <v/>
      </c>
      <c r="R41" s="26"/>
    </row>
    <row r="42" spans="1:18">
      <c r="A42" s="36"/>
      <c r="B42" s="37"/>
      <c r="C42" s="37"/>
      <c r="D42" s="37"/>
      <c r="E42" s="38"/>
      <c r="F42" s="39"/>
      <c r="G42" s="40" t="str">
        <f t="shared" si="8"/>
        <v/>
      </c>
      <c r="H42" s="41" t="str">
        <f>IF(G42="","",IF(Inputs!$B$6&lt;=0,"",G42*(1+Inputs!$B$7)/Inputs!$B$6))</f>
        <v/>
      </c>
      <c r="I42" s="41" t="str">
        <f t="shared" si="9"/>
        <v/>
      </c>
      <c r="J42" s="41" t="str">
        <f>IF(OR(A42="",D42=""),"",MIN(D42,Inputs!$B$10))</f>
        <v/>
      </c>
      <c r="K42" s="41" t="str">
        <f t="shared" si="10"/>
        <v/>
      </c>
      <c r="L42" s="41" t="str">
        <f t="shared" si="11"/>
        <v/>
      </c>
      <c r="M42" s="41" t="str">
        <f t="shared" si="12"/>
        <v/>
      </c>
      <c r="N42" s="42" t="str">
        <f t="shared" si="13"/>
        <v/>
      </c>
      <c r="O42" s="41" t="str">
        <f>IF(OR(A42="",E42=""),"",MOD(E42-Inputs!$B$12,1)*24)</f>
        <v/>
      </c>
      <c r="P42" s="41" t="str">
        <f t="shared" si="14"/>
        <v/>
      </c>
      <c r="Q42" s="43" t="str">
        <f t="shared" si="15"/>
        <v/>
      </c>
      <c r="R42" s="26"/>
    </row>
    <row r="43" spans="1:18">
      <c r="A43" s="36"/>
      <c r="B43" s="37"/>
      <c r="C43" s="37"/>
      <c r="D43" s="37"/>
      <c r="E43" s="38"/>
      <c r="F43" s="39"/>
      <c r="G43" s="40" t="str">
        <f t="shared" si="8"/>
        <v/>
      </c>
      <c r="H43" s="41" t="str">
        <f>IF(G43="","",IF(Inputs!$B$6&lt;=0,"",G43*(1+Inputs!$B$7)/Inputs!$B$6))</f>
        <v/>
      </c>
      <c r="I43" s="41" t="str">
        <f t="shared" si="9"/>
        <v/>
      </c>
      <c r="J43" s="41" t="str">
        <f>IF(OR(A43="",D43=""),"",MIN(D43,Inputs!$B$10))</f>
        <v/>
      </c>
      <c r="K43" s="41" t="str">
        <f t="shared" si="10"/>
        <v/>
      </c>
      <c r="L43" s="41" t="str">
        <f t="shared" si="11"/>
        <v/>
      </c>
      <c r="M43" s="41" t="str">
        <f t="shared" si="12"/>
        <v/>
      </c>
      <c r="N43" s="42" t="str">
        <f t="shared" si="13"/>
        <v/>
      </c>
      <c r="O43" s="41" t="str">
        <f>IF(OR(A43="",E43=""),"",MOD(E43-Inputs!$B$12,1)*24)</f>
        <v/>
      </c>
      <c r="P43" s="41" t="str">
        <f t="shared" si="14"/>
        <v/>
      </c>
      <c r="Q43" s="43" t="str">
        <f t="shared" si="15"/>
        <v/>
      </c>
      <c r="R43" s="26"/>
    </row>
    <row r="44" spans="1:18">
      <c r="A44" s="36"/>
      <c r="B44" s="37"/>
      <c r="C44" s="37"/>
      <c r="D44" s="37"/>
      <c r="E44" s="38"/>
      <c r="F44" s="39"/>
      <c r="G44" s="40" t="str">
        <f t="shared" si="8"/>
        <v/>
      </c>
      <c r="H44" s="41" t="str">
        <f>IF(G44="","",IF(Inputs!$B$6&lt;=0,"",G44*(1+Inputs!$B$7)/Inputs!$B$6))</f>
        <v/>
      </c>
      <c r="I44" s="41" t="str">
        <f t="shared" si="9"/>
        <v/>
      </c>
      <c r="J44" s="41" t="str">
        <f>IF(OR(A44="",D44=""),"",MIN(D44,Inputs!$B$10))</f>
        <v/>
      </c>
      <c r="K44" s="41" t="str">
        <f t="shared" si="10"/>
        <v/>
      </c>
      <c r="L44" s="41" t="str">
        <f t="shared" si="11"/>
        <v/>
      </c>
      <c r="M44" s="41" t="str">
        <f t="shared" si="12"/>
        <v/>
      </c>
      <c r="N44" s="42" t="str">
        <f t="shared" si="13"/>
        <v/>
      </c>
      <c r="O44" s="41" t="str">
        <f>IF(OR(A44="",E44=""),"",MOD(E44-Inputs!$B$12,1)*24)</f>
        <v/>
      </c>
      <c r="P44" s="41" t="str">
        <f t="shared" si="14"/>
        <v/>
      </c>
      <c r="Q44" s="43" t="str">
        <f t="shared" si="15"/>
        <v/>
      </c>
      <c r="R44" s="26"/>
    </row>
    <row r="45" spans="1:18">
      <c r="A45" s="36"/>
      <c r="B45" s="37"/>
      <c r="C45" s="37"/>
      <c r="D45" s="37"/>
      <c r="E45" s="38"/>
      <c r="F45" s="39"/>
      <c r="G45" s="40" t="str">
        <f t="shared" si="8"/>
        <v/>
      </c>
      <c r="H45" s="41" t="str">
        <f>IF(G45="","",IF(Inputs!$B$6&lt;=0,"",G45*(1+Inputs!$B$7)/Inputs!$B$6))</f>
        <v/>
      </c>
      <c r="I45" s="41" t="str">
        <f t="shared" si="9"/>
        <v/>
      </c>
      <c r="J45" s="41" t="str">
        <f>IF(OR(A45="",D45=""),"",MIN(D45,Inputs!$B$10))</f>
        <v/>
      </c>
      <c r="K45" s="41" t="str">
        <f t="shared" si="10"/>
        <v/>
      </c>
      <c r="L45" s="41" t="str">
        <f t="shared" si="11"/>
        <v/>
      </c>
      <c r="M45" s="41" t="str">
        <f t="shared" si="12"/>
        <v/>
      </c>
      <c r="N45" s="42" t="str">
        <f t="shared" si="13"/>
        <v/>
      </c>
      <c r="O45" s="41" t="str">
        <f>IF(OR(A45="",E45=""),"",MOD(E45-Inputs!$B$12,1)*24)</f>
        <v/>
      </c>
      <c r="P45" s="41" t="str">
        <f t="shared" si="14"/>
        <v/>
      </c>
      <c r="Q45" s="43" t="str">
        <f t="shared" si="15"/>
        <v/>
      </c>
      <c r="R45" s="26"/>
    </row>
    <row r="46" spans="1:18">
      <c r="A46" s="36"/>
      <c r="B46" s="37"/>
      <c r="C46" s="37"/>
      <c r="D46" s="37"/>
      <c r="E46" s="38"/>
      <c r="F46" s="39"/>
      <c r="G46" s="40" t="str">
        <f t="shared" si="8"/>
        <v/>
      </c>
      <c r="H46" s="41" t="str">
        <f>IF(G46="","",IF(Inputs!$B$6&lt;=0,"",G46*(1+Inputs!$B$7)/Inputs!$B$6))</f>
        <v/>
      </c>
      <c r="I46" s="41" t="str">
        <f t="shared" si="9"/>
        <v/>
      </c>
      <c r="J46" s="41" t="str">
        <f>IF(OR(A46="",D46=""),"",MIN(D46,Inputs!$B$10))</f>
        <v/>
      </c>
      <c r="K46" s="41" t="str">
        <f t="shared" si="10"/>
        <v/>
      </c>
      <c r="L46" s="41" t="str">
        <f t="shared" si="11"/>
        <v/>
      </c>
      <c r="M46" s="41" t="str">
        <f t="shared" si="12"/>
        <v/>
      </c>
      <c r="N46" s="42" t="str">
        <f t="shared" si="13"/>
        <v/>
      </c>
      <c r="O46" s="41" t="str">
        <f>IF(OR(A46="",E46=""),"",MOD(E46-Inputs!$B$12,1)*24)</f>
        <v/>
      </c>
      <c r="P46" s="41" t="str">
        <f t="shared" si="14"/>
        <v/>
      </c>
      <c r="Q46" s="43" t="str">
        <f t="shared" si="15"/>
        <v/>
      </c>
      <c r="R46" s="26"/>
    </row>
    <row r="47" spans="1:18">
      <c r="A47" s="36"/>
      <c r="B47" s="37"/>
      <c r="C47" s="37"/>
      <c r="D47" s="37"/>
      <c r="E47" s="38"/>
      <c r="F47" s="39"/>
      <c r="G47" s="40" t="str">
        <f t="shared" si="8"/>
        <v/>
      </c>
      <c r="H47" s="41" t="str">
        <f>IF(G47="","",IF(Inputs!$B$6&lt;=0,"",G47*(1+Inputs!$B$7)/Inputs!$B$6))</f>
        <v/>
      </c>
      <c r="I47" s="41" t="str">
        <f t="shared" si="9"/>
        <v/>
      </c>
      <c r="J47" s="41" t="str">
        <f>IF(OR(A47="",D47=""),"",MIN(D47,Inputs!$B$10))</f>
        <v/>
      </c>
      <c r="K47" s="41" t="str">
        <f t="shared" si="10"/>
        <v/>
      </c>
      <c r="L47" s="41" t="str">
        <f t="shared" si="11"/>
        <v/>
      </c>
      <c r="M47" s="41" t="str">
        <f t="shared" si="12"/>
        <v/>
      </c>
      <c r="N47" s="42" t="str">
        <f t="shared" si="13"/>
        <v/>
      </c>
      <c r="O47" s="41" t="str">
        <f>IF(OR(A47="",E47=""),"",MOD(E47-Inputs!$B$12,1)*24)</f>
        <v/>
      </c>
      <c r="P47" s="41" t="str">
        <f t="shared" si="14"/>
        <v/>
      </c>
      <c r="Q47" s="43" t="str">
        <f t="shared" si="15"/>
        <v/>
      </c>
      <c r="R47" s="26"/>
    </row>
    <row r="48" spans="1:18">
      <c r="A48" s="36"/>
      <c r="B48" s="37"/>
      <c r="C48" s="37"/>
      <c r="D48" s="37"/>
      <c r="E48" s="38"/>
      <c r="F48" s="39"/>
      <c r="G48" s="40" t="str">
        <f t="shared" si="8"/>
        <v/>
      </c>
      <c r="H48" s="41" t="str">
        <f>IF(G48="","",IF(Inputs!$B$6&lt;=0,"",G48*(1+Inputs!$B$7)/Inputs!$B$6))</f>
        <v/>
      </c>
      <c r="I48" s="41" t="str">
        <f t="shared" si="9"/>
        <v/>
      </c>
      <c r="J48" s="41" t="str">
        <f>IF(OR(A48="",D48=""),"",MIN(D48,Inputs!$B$10))</f>
        <v/>
      </c>
      <c r="K48" s="41" t="str">
        <f t="shared" si="10"/>
        <v/>
      </c>
      <c r="L48" s="41" t="str">
        <f t="shared" si="11"/>
        <v/>
      </c>
      <c r="M48" s="41" t="str">
        <f t="shared" si="12"/>
        <v/>
      </c>
      <c r="N48" s="42" t="str">
        <f t="shared" si="13"/>
        <v/>
      </c>
      <c r="O48" s="41" t="str">
        <f>IF(OR(A48="",E48=""),"",MOD(E48-Inputs!$B$12,1)*24)</f>
        <v/>
      </c>
      <c r="P48" s="41" t="str">
        <f t="shared" si="14"/>
        <v/>
      </c>
      <c r="Q48" s="43" t="str">
        <f t="shared" si="15"/>
        <v/>
      </c>
      <c r="R48" s="26"/>
    </row>
    <row r="49" spans="1:18">
      <c r="A49" s="36"/>
      <c r="B49" s="37"/>
      <c r="C49" s="37"/>
      <c r="D49" s="37"/>
      <c r="E49" s="38"/>
      <c r="F49" s="39"/>
      <c r="G49" s="40" t="str">
        <f t="shared" si="8"/>
        <v/>
      </c>
      <c r="H49" s="41" t="str">
        <f>IF(G49="","",IF(Inputs!$B$6&lt;=0,"",G49*(1+Inputs!$B$7)/Inputs!$B$6))</f>
        <v/>
      </c>
      <c r="I49" s="41" t="str">
        <f t="shared" si="9"/>
        <v/>
      </c>
      <c r="J49" s="41" t="str">
        <f>IF(OR(A49="",D49=""),"",MIN(D49,Inputs!$B$10))</f>
        <v/>
      </c>
      <c r="K49" s="41" t="str">
        <f t="shared" si="10"/>
        <v/>
      </c>
      <c r="L49" s="41" t="str">
        <f t="shared" si="11"/>
        <v/>
      </c>
      <c r="M49" s="41" t="str">
        <f t="shared" si="12"/>
        <v/>
      </c>
      <c r="N49" s="42" t="str">
        <f t="shared" si="13"/>
        <v/>
      </c>
      <c r="O49" s="41" t="str">
        <f>IF(OR(A49="",E49=""),"",MOD(E49-Inputs!$B$12,1)*24)</f>
        <v/>
      </c>
      <c r="P49" s="41" t="str">
        <f t="shared" si="14"/>
        <v/>
      </c>
      <c r="Q49" s="43" t="str">
        <f t="shared" si="15"/>
        <v/>
      </c>
      <c r="R49" s="26"/>
    </row>
    <row r="50" spans="1:18">
      <c r="A50" s="36"/>
      <c r="B50" s="37"/>
      <c r="C50" s="37"/>
      <c r="D50" s="37"/>
      <c r="E50" s="38"/>
      <c r="F50" s="39"/>
      <c r="G50" s="40" t="str">
        <f t="shared" si="8"/>
        <v/>
      </c>
      <c r="H50" s="41" t="str">
        <f>IF(G50="","",IF(Inputs!$B$6&lt;=0,"",G50*(1+Inputs!$B$7)/Inputs!$B$6))</f>
        <v/>
      </c>
      <c r="I50" s="41" t="str">
        <f t="shared" si="9"/>
        <v/>
      </c>
      <c r="J50" s="41" t="str">
        <f>IF(OR(A50="",D50=""),"",MIN(D50,Inputs!$B$10))</f>
        <v/>
      </c>
      <c r="K50" s="41" t="str">
        <f t="shared" si="10"/>
        <v/>
      </c>
      <c r="L50" s="41" t="str">
        <f t="shared" si="11"/>
        <v/>
      </c>
      <c r="M50" s="41" t="str">
        <f t="shared" si="12"/>
        <v/>
      </c>
      <c r="N50" s="42" t="str">
        <f t="shared" si="13"/>
        <v/>
      </c>
      <c r="O50" s="41" t="str">
        <f>IF(OR(A50="",E50=""),"",MOD(E50-Inputs!$B$12,1)*24)</f>
        <v/>
      </c>
      <c r="P50" s="41" t="str">
        <f t="shared" si="14"/>
        <v/>
      </c>
      <c r="Q50" s="43" t="str">
        <f t="shared" si="15"/>
        <v/>
      </c>
      <c r="R50" s="26"/>
    </row>
    <row r="51" spans="1:18">
      <c r="A51" s="44"/>
      <c r="B51" s="45"/>
      <c r="C51" s="45"/>
      <c r="D51" s="45"/>
      <c r="E51" s="46"/>
      <c r="F51" s="47"/>
      <c r="G51" s="48" t="str">
        <f t="shared" si="8"/>
        <v/>
      </c>
      <c r="H51" s="49" t="str">
        <f>IF(G51="","",IF(Inputs!$B$6&lt;=0,"",G51*(1+Inputs!$B$7)/Inputs!$B$6))</f>
        <v/>
      </c>
      <c r="I51" s="49" t="str">
        <f t="shared" si="9"/>
        <v/>
      </c>
      <c r="J51" s="49" t="str">
        <f>IF(OR(A51="",D51=""),"",MIN(D51,Inputs!$B$10))</f>
        <v/>
      </c>
      <c r="K51" s="49" t="str">
        <f t="shared" si="10"/>
        <v/>
      </c>
      <c r="L51" s="49" t="str">
        <f t="shared" si="11"/>
        <v/>
      </c>
      <c r="M51" s="49" t="str">
        <f t="shared" si="12"/>
        <v/>
      </c>
      <c r="N51" s="50" t="str">
        <f t="shared" si="13"/>
        <v/>
      </c>
      <c r="O51" s="49" t="str">
        <f>IF(OR(A51="",E51=""),"",MOD(E51-Inputs!$B$12,1)*24)</f>
        <v/>
      </c>
      <c r="P51" s="49" t="str">
        <f t="shared" si="14"/>
        <v/>
      </c>
      <c r="Q51" s="51" t="str">
        <f t="shared" si="15"/>
        <v/>
      </c>
      <c r="R51" s="27"/>
    </row>
  </sheetData>
  <conditionalFormatting sqref="L2:L51">
    <cfRule type="expression" dxfId="4" priority="3">
      <formula>AND(L2&lt;1,L2&gt;=0,L2&lt;&gt;"")</formula>
    </cfRule>
    <cfRule type="expression" dxfId="3" priority="4">
      <formula>L2&lt;0</formula>
    </cfRule>
  </conditionalFormatting>
  <conditionalFormatting sqref="N2:N51">
    <cfRule type="expression" dxfId="2" priority="1">
      <formula>N2="DA"</formula>
    </cfRule>
    <cfRule type="expression" dxfId="1" priority="2">
      <formula>N2="NE"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7"/>
  <sheetViews>
    <sheetView workbookViewId="0"/>
  </sheetViews>
  <sheetFormatPr defaultRowHeight="14.4"/>
  <cols>
    <col min="1" max="1" width="5.5" style="1" customWidth="1"/>
    <col min="2" max="2" width="10.8984375" style="1" customWidth="1"/>
    <col min="3" max="3" width="6.296875" style="1" customWidth="1"/>
    <col min="4" max="4" width="18.8984375" style="1" customWidth="1"/>
    <col min="5" max="5" width="17.8984375" style="1" customWidth="1"/>
    <col min="6" max="6" width="16.19921875" style="1" customWidth="1"/>
    <col min="7" max="7" width="11.796875" style="1" customWidth="1"/>
    <col min="8" max="8" width="18.59765625" style="1" customWidth="1"/>
    <col min="9" max="9" width="11.69921875" style="1" customWidth="1"/>
    <col min="10" max="10" width="17.296875" style="1" customWidth="1"/>
    <col min="11" max="16384" width="8.796875" style="1"/>
  </cols>
  <sheetData>
    <row r="1" spans="1:10" ht="28.8">
      <c r="A1" s="24" t="s">
        <v>136</v>
      </c>
      <c r="B1" s="24" t="s">
        <v>137</v>
      </c>
      <c r="C1" s="24" t="s">
        <v>138</v>
      </c>
      <c r="D1" s="24" t="s">
        <v>139</v>
      </c>
      <c r="E1" s="24" t="s">
        <v>140</v>
      </c>
      <c r="F1" s="24" t="s">
        <v>141</v>
      </c>
      <c r="G1" s="24" t="s">
        <v>142</v>
      </c>
      <c r="H1" s="24" t="s">
        <v>143</v>
      </c>
      <c r="I1" s="24" t="s">
        <v>144</v>
      </c>
      <c r="J1" s="24" t="s">
        <v>145</v>
      </c>
    </row>
    <row r="2" spans="1:10">
      <c r="A2" s="52">
        <v>1</v>
      </c>
      <c r="B2" s="53">
        <v>0</v>
      </c>
      <c r="C2" s="54">
        <f>MOD(Inputs!$B$12+B2/24,1)</f>
        <v>0.5</v>
      </c>
      <c r="D2" s="55">
        <f>SUMIFS(Vehicles!$J$2:$J$51,Vehicles!$O$2:$O$51,"&lt;="&amp;B2,Vehicles!$Q$2:$Q$51,"&gt;"&amp;B2)</f>
        <v>0</v>
      </c>
      <c r="E2" s="56">
        <f>SUMIFS(Vehicles!$M$2:$M$51,Vehicles!$O$2:$O$51,"&lt;="&amp;B2,Vehicles!$P$2:$P$51,"&gt;"&amp;B2)</f>
        <v>0</v>
      </c>
      <c r="F2" s="56">
        <f>Inputs!$B$8</f>
        <v>100</v>
      </c>
      <c r="G2" s="56">
        <f t="shared" ref="G2:G33" si="0">D2+F2</f>
        <v>100</v>
      </c>
      <c r="H2" s="56">
        <f t="shared" ref="H2:H33" si="1">E2+F2</f>
        <v>100</v>
      </c>
      <c r="I2" s="56">
        <f>Inputs!$B$9</f>
        <v>1600</v>
      </c>
      <c r="J2" s="57">
        <f>COUNTIFS(Vehicles!$O$2:$O$51,"&lt;="&amp;B2,Vehicles!$P$2:$P$51,"&gt;"&amp;B2,Vehicles!$A$2:$A$51,"&lt;&gt;")</f>
        <v>0</v>
      </c>
    </row>
    <row r="3" spans="1:10">
      <c r="A3" s="58">
        <v>2</v>
      </c>
      <c r="B3" s="59">
        <v>0.25</v>
      </c>
      <c r="C3" s="60">
        <f>MOD(Inputs!$B$12+B3/24,1)</f>
        <v>0.51041666666666663</v>
      </c>
      <c r="D3" s="61">
        <f>SUMIFS(Vehicles!$J$2:$J$51,Vehicles!$O$2:$O$51,"&lt;="&amp;B3,Vehicles!$Q$2:$Q$51,"&gt;"&amp;B3)</f>
        <v>0</v>
      </c>
      <c r="E3" s="62">
        <f>SUMIFS(Vehicles!$M$2:$M$51,Vehicles!$O$2:$O$51,"&lt;="&amp;B3,Vehicles!$P$2:$P$51,"&gt;"&amp;B3)</f>
        <v>0</v>
      </c>
      <c r="F3" s="62">
        <f>Inputs!$B$8</f>
        <v>100</v>
      </c>
      <c r="G3" s="62">
        <f t="shared" si="0"/>
        <v>100</v>
      </c>
      <c r="H3" s="62">
        <f t="shared" si="1"/>
        <v>100</v>
      </c>
      <c r="I3" s="62">
        <f>Inputs!$B$9</f>
        <v>1600</v>
      </c>
      <c r="J3" s="63">
        <f>COUNTIFS(Vehicles!$O$2:$O$51,"&lt;="&amp;B3,Vehicles!$P$2:$P$51,"&gt;"&amp;B3,Vehicles!$A$2:$A$51,"&lt;&gt;")</f>
        <v>0</v>
      </c>
    </row>
    <row r="4" spans="1:10">
      <c r="A4" s="58">
        <v>3</v>
      </c>
      <c r="B4" s="59">
        <v>0.5</v>
      </c>
      <c r="C4" s="60">
        <f>MOD(Inputs!$B$12+B4/24,1)</f>
        <v>0.52083333333333337</v>
      </c>
      <c r="D4" s="61">
        <f>SUMIFS(Vehicles!$J$2:$J$51,Vehicles!$O$2:$O$51,"&lt;="&amp;B4,Vehicles!$Q$2:$Q$51,"&gt;"&amp;B4)</f>
        <v>0</v>
      </c>
      <c r="E4" s="62">
        <f>SUMIFS(Vehicles!$M$2:$M$51,Vehicles!$O$2:$O$51,"&lt;="&amp;B4,Vehicles!$P$2:$P$51,"&gt;"&amp;B4)</f>
        <v>0</v>
      </c>
      <c r="F4" s="62">
        <f>Inputs!$B$8</f>
        <v>100</v>
      </c>
      <c r="G4" s="62">
        <f t="shared" si="0"/>
        <v>100</v>
      </c>
      <c r="H4" s="62">
        <f t="shared" si="1"/>
        <v>100</v>
      </c>
      <c r="I4" s="62">
        <f>Inputs!$B$9</f>
        <v>1600</v>
      </c>
      <c r="J4" s="63">
        <f>COUNTIFS(Vehicles!$O$2:$O$51,"&lt;="&amp;B4,Vehicles!$P$2:$P$51,"&gt;"&amp;B4,Vehicles!$A$2:$A$51,"&lt;&gt;")</f>
        <v>0</v>
      </c>
    </row>
    <row r="5" spans="1:10">
      <c r="A5" s="58">
        <v>4</v>
      </c>
      <c r="B5" s="59">
        <v>0.75</v>
      </c>
      <c r="C5" s="60">
        <f>MOD(Inputs!$B$12+B5/24,1)</f>
        <v>0.53125</v>
      </c>
      <c r="D5" s="61">
        <f>SUMIFS(Vehicles!$J$2:$J$51,Vehicles!$O$2:$O$51,"&lt;="&amp;B5,Vehicles!$Q$2:$Q$51,"&gt;"&amp;B5)</f>
        <v>0</v>
      </c>
      <c r="E5" s="62">
        <f>SUMIFS(Vehicles!$M$2:$M$51,Vehicles!$O$2:$O$51,"&lt;="&amp;B5,Vehicles!$P$2:$P$51,"&gt;"&amp;B5)</f>
        <v>0</v>
      </c>
      <c r="F5" s="62">
        <f>Inputs!$B$8</f>
        <v>100</v>
      </c>
      <c r="G5" s="62">
        <f t="shared" si="0"/>
        <v>100</v>
      </c>
      <c r="H5" s="62">
        <f t="shared" si="1"/>
        <v>100</v>
      </c>
      <c r="I5" s="62">
        <f>Inputs!$B$9</f>
        <v>1600</v>
      </c>
      <c r="J5" s="63">
        <f>COUNTIFS(Vehicles!$O$2:$O$51,"&lt;="&amp;B5,Vehicles!$P$2:$P$51,"&gt;"&amp;B5,Vehicles!$A$2:$A$51,"&lt;&gt;")</f>
        <v>0</v>
      </c>
    </row>
    <row r="6" spans="1:10">
      <c r="A6" s="58">
        <v>5</v>
      </c>
      <c r="B6" s="59">
        <v>1</v>
      </c>
      <c r="C6" s="60">
        <f>MOD(Inputs!$B$12+B6/24,1)</f>
        <v>0.54166666666666663</v>
      </c>
      <c r="D6" s="61">
        <f>SUMIFS(Vehicles!$J$2:$J$51,Vehicles!$O$2:$O$51,"&lt;="&amp;B6,Vehicles!$Q$2:$Q$51,"&gt;"&amp;B6)</f>
        <v>0</v>
      </c>
      <c r="E6" s="62">
        <f>SUMIFS(Vehicles!$M$2:$M$51,Vehicles!$O$2:$O$51,"&lt;="&amp;B6,Vehicles!$P$2:$P$51,"&gt;"&amp;B6)</f>
        <v>0</v>
      </c>
      <c r="F6" s="62">
        <f>Inputs!$B$8</f>
        <v>100</v>
      </c>
      <c r="G6" s="62">
        <f t="shared" si="0"/>
        <v>100</v>
      </c>
      <c r="H6" s="62">
        <f t="shared" si="1"/>
        <v>100</v>
      </c>
      <c r="I6" s="62">
        <f>Inputs!$B$9</f>
        <v>1600</v>
      </c>
      <c r="J6" s="63">
        <f>COUNTIFS(Vehicles!$O$2:$O$51,"&lt;="&amp;B6,Vehicles!$P$2:$P$51,"&gt;"&amp;B6,Vehicles!$A$2:$A$51,"&lt;&gt;")</f>
        <v>0</v>
      </c>
    </row>
    <row r="7" spans="1:10">
      <c r="A7" s="58">
        <v>6</v>
      </c>
      <c r="B7" s="59">
        <v>1.25</v>
      </c>
      <c r="C7" s="60">
        <f>MOD(Inputs!$B$12+B7/24,1)</f>
        <v>0.55208333333333337</v>
      </c>
      <c r="D7" s="61">
        <f>SUMIFS(Vehicles!$J$2:$J$51,Vehicles!$O$2:$O$51,"&lt;="&amp;B7,Vehicles!$Q$2:$Q$51,"&gt;"&amp;B7)</f>
        <v>0</v>
      </c>
      <c r="E7" s="62">
        <f>SUMIFS(Vehicles!$M$2:$M$51,Vehicles!$O$2:$O$51,"&lt;="&amp;B7,Vehicles!$P$2:$P$51,"&gt;"&amp;B7)</f>
        <v>0</v>
      </c>
      <c r="F7" s="62">
        <f>Inputs!$B$8</f>
        <v>100</v>
      </c>
      <c r="G7" s="62">
        <f t="shared" si="0"/>
        <v>100</v>
      </c>
      <c r="H7" s="62">
        <f t="shared" si="1"/>
        <v>100</v>
      </c>
      <c r="I7" s="62">
        <f>Inputs!$B$9</f>
        <v>1600</v>
      </c>
      <c r="J7" s="63">
        <f>COUNTIFS(Vehicles!$O$2:$O$51,"&lt;="&amp;B7,Vehicles!$P$2:$P$51,"&gt;"&amp;B7,Vehicles!$A$2:$A$51,"&lt;&gt;")</f>
        <v>0</v>
      </c>
    </row>
    <row r="8" spans="1:10">
      <c r="A8" s="58">
        <v>7</v>
      </c>
      <c r="B8" s="59">
        <v>1.5</v>
      </c>
      <c r="C8" s="60">
        <f>MOD(Inputs!$B$12+B8/24,1)</f>
        <v>0.5625</v>
      </c>
      <c r="D8" s="61">
        <f>SUMIFS(Vehicles!$J$2:$J$51,Vehicles!$O$2:$O$51,"&lt;="&amp;B8,Vehicles!$Q$2:$Q$51,"&gt;"&amp;B8)</f>
        <v>0</v>
      </c>
      <c r="E8" s="62">
        <f>SUMIFS(Vehicles!$M$2:$M$51,Vehicles!$O$2:$O$51,"&lt;="&amp;B8,Vehicles!$P$2:$P$51,"&gt;"&amp;B8)</f>
        <v>0</v>
      </c>
      <c r="F8" s="62">
        <f>Inputs!$B$8</f>
        <v>100</v>
      </c>
      <c r="G8" s="62">
        <f t="shared" si="0"/>
        <v>100</v>
      </c>
      <c r="H8" s="62">
        <f t="shared" si="1"/>
        <v>100</v>
      </c>
      <c r="I8" s="62">
        <f>Inputs!$B$9</f>
        <v>1600</v>
      </c>
      <c r="J8" s="63">
        <f>COUNTIFS(Vehicles!$O$2:$O$51,"&lt;="&amp;B8,Vehicles!$P$2:$P$51,"&gt;"&amp;B8,Vehicles!$A$2:$A$51,"&lt;&gt;")</f>
        <v>0</v>
      </c>
    </row>
    <row r="9" spans="1:10">
      <c r="A9" s="58">
        <v>8</v>
      </c>
      <c r="B9" s="59">
        <v>1.75</v>
      </c>
      <c r="C9" s="60">
        <f>MOD(Inputs!$B$12+B9/24,1)</f>
        <v>0.57291666666666663</v>
      </c>
      <c r="D9" s="61">
        <f>SUMIFS(Vehicles!$J$2:$J$51,Vehicles!$O$2:$O$51,"&lt;="&amp;B9,Vehicles!$Q$2:$Q$51,"&gt;"&amp;B9)</f>
        <v>0</v>
      </c>
      <c r="E9" s="62">
        <f>SUMIFS(Vehicles!$M$2:$M$51,Vehicles!$O$2:$O$51,"&lt;="&amp;B9,Vehicles!$P$2:$P$51,"&gt;"&amp;B9)</f>
        <v>0</v>
      </c>
      <c r="F9" s="62">
        <f>Inputs!$B$8</f>
        <v>100</v>
      </c>
      <c r="G9" s="62">
        <f t="shared" si="0"/>
        <v>100</v>
      </c>
      <c r="H9" s="62">
        <f t="shared" si="1"/>
        <v>100</v>
      </c>
      <c r="I9" s="62">
        <f>Inputs!$B$9</f>
        <v>1600</v>
      </c>
      <c r="J9" s="63">
        <f>COUNTIFS(Vehicles!$O$2:$O$51,"&lt;="&amp;B9,Vehicles!$P$2:$P$51,"&gt;"&amp;B9,Vehicles!$A$2:$A$51,"&lt;&gt;")</f>
        <v>0</v>
      </c>
    </row>
    <row r="10" spans="1:10">
      <c r="A10" s="58">
        <v>9</v>
      </c>
      <c r="B10" s="59">
        <v>2</v>
      </c>
      <c r="C10" s="60">
        <f>MOD(Inputs!$B$12+B10/24,1)</f>
        <v>0.58333333333333337</v>
      </c>
      <c r="D10" s="61">
        <f>SUMIFS(Vehicles!$J$2:$J$51,Vehicles!$O$2:$O$51,"&lt;="&amp;B10,Vehicles!$Q$2:$Q$51,"&gt;"&amp;B10)</f>
        <v>0</v>
      </c>
      <c r="E10" s="62">
        <f>SUMIFS(Vehicles!$M$2:$M$51,Vehicles!$O$2:$O$51,"&lt;="&amp;B10,Vehicles!$P$2:$P$51,"&gt;"&amp;B10)</f>
        <v>0</v>
      </c>
      <c r="F10" s="62">
        <f>Inputs!$B$8</f>
        <v>100</v>
      </c>
      <c r="G10" s="62">
        <f t="shared" si="0"/>
        <v>100</v>
      </c>
      <c r="H10" s="62">
        <f t="shared" si="1"/>
        <v>100</v>
      </c>
      <c r="I10" s="62">
        <f>Inputs!$B$9</f>
        <v>1600</v>
      </c>
      <c r="J10" s="63">
        <f>COUNTIFS(Vehicles!$O$2:$O$51,"&lt;="&amp;B10,Vehicles!$P$2:$P$51,"&gt;"&amp;B10,Vehicles!$A$2:$A$51,"&lt;&gt;")</f>
        <v>0</v>
      </c>
    </row>
    <row r="11" spans="1:10">
      <c r="A11" s="58">
        <v>10</v>
      </c>
      <c r="B11" s="59">
        <v>2.25</v>
      </c>
      <c r="C11" s="60">
        <f>MOD(Inputs!$B$12+B11/24,1)</f>
        <v>0.59375</v>
      </c>
      <c r="D11" s="61">
        <f>SUMIFS(Vehicles!$J$2:$J$51,Vehicles!$O$2:$O$51,"&lt;="&amp;B11,Vehicles!$Q$2:$Q$51,"&gt;"&amp;B11)</f>
        <v>0</v>
      </c>
      <c r="E11" s="62">
        <f>SUMIFS(Vehicles!$M$2:$M$51,Vehicles!$O$2:$O$51,"&lt;="&amp;B11,Vehicles!$P$2:$P$51,"&gt;"&amp;B11)</f>
        <v>0</v>
      </c>
      <c r="F11" s="62">
        <f>Inputs!$B$8</f>
        <v>100</v>
      </c>
      <c r="G11" s="62">
        <f t="shared" si="0"/>
        <v>100</v>
      </c>
      <c r="H11" s="62">
        <f t="shared" si="1"/>
        <v>100</v>
      </c>
      <c r="I11" s="62">
        <f>Inputs!$B$9</f>
        <v>1600</v>
      </c>
      <c r="J11" s="63">
        <f>COUNTIFS(Vehicles!$O$2:$O$51,"&lt;="&amp;B11,Vehicles!$P$2:$P$51,"&gt;"&amp;B11,Vehicles!$A$2:$A$51,"&lt;&gt;")</f>
        <v>0</v>
      </c>
    </row>
    <row r="12" spans="1:10">
      <c r="A12" s="58">
        <v>11</v>
      </c>
      <c r="B12" s="59">
        <v>2.5</v>
      </c>
      <c r="C12" s="60">
        <f>MOD(Inputs!$B$12+B12/24,1)</f>
        <v>0.60416666666666663</v>
      </c>
      <c r="D12" s="61">
        <f>SUMIFS(Vehicles!$J$2:$J$51,Vehicles!$O$2:$O$51,"&lt;="&amp;B12,Vehicles!$Q$2:$Q$51,"&gt;"&amp;B12)</f>
        <v>0</v>
      </c>
      <c r="E12" s="62">
        <f>SUMIFS(Vehicles!$M$2:$M$51,Vehicles!$O$2:$O$51,"&lt;="&amp;B12,Vehicles!$P$2:$P$51,"&gt;"&amp;B12)</f>
        <v>0</v>
      </c>
      <c r="F12" s="62">
        <f>Inputs!$B$8</f>
        <v>100</v>
      </c>
      <c r="G12" s="62">
        <f t="shared" si="0"/>
        <v>100</v>
      </c>
      <c r="H12" s="62">
        <f t="shared" si="1"/>
        <v>100</v>
      </c>
      <c r="I12" s="62">
        <f>Inputs!$B$9</f>
        <v>1600</v>
      </c>
      <c r="J12" s="63">
        <f>COUNTIFS(Vehicles!$O$2:$O$51,"&lt;="&amp;B12,Vehicles!$P$2:$P$51,"&gt;"&amp;B12,Vehicles!$A$2:$A$51,"&lt;&gt;")</f>
        <v>0</v>
      </c>
    </row>
    <row r="13" spans="1:10">
      <c r="A13" s="58">
        <v>12</v>
      </c>
      <c r="B13" s="59">
        <v>2.75</v>
      </c>
      <c r="C13" s="60">
        <f>MOD(Inputs!$B$12+B13/24,1)</f>
        <v>0.61458333333333337</v>
      </c>
      <c r="D13" s="61">
        <f>SUMIFS(Vehicles!$J$2:$J$51,Vehicles!$O$2:$O$51,"&lt;="&amp;B13,Vehicles!$Q$2:$Q$51,"&gt;"&amp;B13)</f>
        <v>0</v>
      </c>
      <c r="E13" s="62">
        <f>SUMIFS(Vehicles!$M$2:$M$51,Vehicles!$O$2:$O$51,"&lt;="&amp;B13,Vehicles!$P$2:$P$51,"&gt;"&amp;B13)</f>
        <v>0</v>
      </c>
      <c r="F13" s="62">
        <f>Inputs!$B$8</f>
        <v>100</v>
      </c>
      <c r="G13" s="62">
        <f t="shared" si="0"/>
        <v>100</v>
      </c>
      <c r="H13" s="62">
        <f t="shared" si="1"/>
        <v>100</v>
      </c>
      <c r="I13" s="62">
        <f>Inputs!$B$9</f>
        <v>1600</v>
      </c>
      <c r="J13" s="63">
        <f>COUNTIFS(Vehicles!$O$2:$O$51,"&lt;="&amp;B13,Vehicles!$P$2:$P$51,"&gt;"&amp;B13,Vehicles!$A$2:$A$51,"&lt;&gt;")</f>
        <v>0</v>
      </c>
    </row>
    <row r="14" spans="1:10">
      <c r="A14" s="58">
        <v>13</v>
      </c>
      <c r="B14" s="59">
        <v>3</v>
      </c>
      <c r="C14" s="60">
        <f>MOD(Inputs!$B$12+B14/24,1)</f>
        <v>0.625</v>
      </c>
      <c r="D14" s="61">
        <f>SUMIFS(Vehicles!$J$2:$J$51,Vehicles!$O$2:$O$51,"&lt;="&amp;B14,Vehicles!$Q$2:$Q$51,"&gt;"&amp;B14)</f>
        <v>0</v>
      </c>
      <c r="E14" s="62">
        <f>SUMIFS(Vehicles!$M$2:$M$51,Vehicles!$O$2:$O$51,"&lt;="&amp;B14,Vehicles!$P$2:$P$51,"&gt;"&amp;B14)</f>
        <v>0</v>
      </c>
      <c r="F14" s="62">
        <f>Inputs!$B$8</f>
        <v>100</v>
      </c>
      <c r="G14" s="62">
        <f t="shared" si="0"/>
        <v>100</v>
      </c>
      <c r="H14" s="62">
        <f t="shared" si="1"/>
        <v>100</v>
      </c>
      <c r="I14" s="62">
        <f>Inputs!$B$9</f>
        <v>1600</v>
      </c>
      <c r="J14" s="63">
        <f>COUNTIFS(Vehicles!$O$2:$O$51,"&lt;="&amp;B14,Vehicles!$P$2:$P$51,"&gt;"&amp;B14,Vehicles!$A$2:$A$51,"&lt;&gt;")</f>
        <v>0</v>
      </c>
    </row>
    <row r="15" spans="1:10">
      <c r="A15" s="58">
        <v>14</v>
      </c>
      <c r="B15" s="59">
        <v>3.25</v>
      </c>
      <c r="C15" s="60">
        <f>MOD(Inputs!$B$12+B15/24,1)</f>
        <v>0.63541666666666663</v>
      </c>
      <c r="D15" s="61">
        <f>SUMIFS(Vehicles!$J$2:$J$51,Vehicles!$O$2:$O$51,"&lt;="&amp;B15,Vehicles!$Q$2:$Q$51,"&gt;"&amp;B15)</f>
        <v>0</v>
      </c>
      <c r="E15" s="62">
        <f>SUMIFS(Vehicles!$M$2:$M$51,Vehicles!$O$2:$O$51,"&lt;="&amp;B15,Vehicles!$P$2:$P$51,"&gt;"&amp;B15)</f>
        <v>0</v>
      </c>
      <c r="F15" s="62">
        <f>Inputs!$B$8</f>
        <v>100</v>
      </c>
      <c r="G15" s="62">
        <f t="shared" si="0"/>
        <v>100</v>
      </c>
      <c r="H15" s="62">
        <f t="shared" si="1"/>
        <v>100</v>
      </c>
      <c r="I15" s="62">
        <f>Inputs!$B$9</f>
        <v>1600</v>
      </c>
      <c r="J15" s="63">
        <f>COUNTIFS(Vehicles!$O$2:$O$51,"&lt;="&amp;B15,Vehicles!$P$2:$P$51,"&gt;"&amp;B15,Vehicles!$A$2:$A$51,"&lt;&gt;")</f>
        <v>0</v>
      </c>
    </row>
    <row r="16" spans="1:10">
      <c r="A16" s="58">
        <v>15</v>
      </c>
      <c r="B16" s="59">
        <v>3.5</v>
      </c>
      <c r="C16" s="60">
        <f>MOD(Inputs!$B$12+B16/24,1)</f>
        <v>0.64583333333333337</v>
      </c>
      <c r="D16" s="61">
        <f>SUMIFS(Vehicles!$J$2:$J$51,Vehicles!$O$2:$O$51,"&lt;="&amp;B16,Vehicles!$Q$2:$Q$51,"&gt;"&amp;B16)</f>
        <v>0</v>
      </c>
      <c r="E16" s="62">
        <f>SUMIFS(Vehicles!$M$2:$M$51,Vehicles!$O$2:$O$51,"&lt;="&amp;B16,Vehicles!$P$2:$P$51,"&gt;"&amp;B16)</f>
        <v>0</v>
      </c>
      <c r="F16" s="62">
        <f>Inputs!$B$8</f>
        <v>100</v>
      </c>
      <c r="G16" s="62">
        <f t="shared" si="0"/>
        <v>100</v>
      </c>
      <c r="H16" s="62">
        <f t="shared" si="1"/>
        <v>100</v>
      </c>
      <c r="I16" s="62">
        <f>Inputs!$B$9</f>
        <v>1600</v>
      </c>
      <c r="J16" s="63">
        <f>COUNTIFS(Vehicles!$O$2:$O$51,"&lt;="&amp;B16,Vehicles!$P$2:$P$51,"&gt;"&amp;B16,Vehicles!$A$2:$A$51,"&lt;&gt;")</f>
        <v>0</v>
      </c>
    </row>
    <row r="17" spans="1:10">
      <c r="A17" s="58">
        <v>16</v>
      </c>
      <c r="B17" s="59">
        <v>3.75</v>
      </c>
      <c r="C17" s="60">
        <f>MOD(Inputs!$B$12+B17/24,1)</f>
        <v>0.65625</v>
      </c>
      <c r="D17" s="61">
        <f>SUMIFS(Vehicles!$J$2:$J$51,Vehicles!$O$2:$O$51,"&lt;="&amp;B17,Vehicles!$Q$2:$Q$51,"&gt;"&amp;B17)</f>
        <v>0</v>
      </c>
      <c r="E17" s="62">
        <f>SUMIFS(Vehicles!$M$2:$M$51,Vehicles!$O$2:$O$51,"&lt;="&amp;B17,Vehicles!$P$2:$P$51,"&gt;"&amp;B17)</f>
        <v>0</v>
      </c>
      <c r="F17" s="62">
        <f>Inputs!$B$8</f>
        <v>100</v>
      </c>
      <c r="G17" s="62">
        <f t="shared" si="0"/>
        <v>100</v>
      </c>
      <c r="H17" s="62">
        <f t="shared" si="1"/>
        <v>100</v>
      </c>
      <c r="I17" s="62">
        <f>Inputs!$B$9</f>
        <v>1600</v>
      </c>
      <c r="J17" s="63">
        <f>COUNTIFS(Vehicles!$O$2:$O$51,"&lt;="&amp;B17,Vehicles!$P$2:$P$51,"&gt;"&amp;B17,Vehicles!$A$2:$A$51,"&lt;&gt;")</f>
        <v>0</v>
      </c>
    </row>
    <row r="18" spans="1:10">
      <c r="A18" s="58">
        <v>17</v>
      </c>
      <c r="B18" s="59">
        <v>4</v>
      </c>
      <c r="C18" s="60">
        <f>MOD(Inputs!$B$12+B18/24,1)</f>
        <v>0.66666666666666663</v>
      </c>
      <c r="D18" s="61">
        <f>SUMIFS(Vehicles!$J$2:$J$51,Vehicles!$O$2:$O$51,"&lt;="&amp;B18,Vehicles!$Q$2:$Q$51,"&gt;"&amp;B18)</f>
        <v>0</v>
      </c>
      <c r="E18" s="62">
        <f>SUMIFS(Vehicles!$M$2:$M$51,Vehicles!$O$2:$O$51,"&lt;="&amp;B18,Vehicles!$P$2:$P$51,"&gt;"&amp;B18)</f>
        <v>0</v>
      </c>
      <c r="F18" s="62">
        <f>Inputs!$B$8</f>
        <v>100</v>
      </c>
      <c r="G18" s="62">
        <f t="shared" si="0"/>
        <v>100</v>
      </c>
      <c r="H18" s="62">
        <f t="shared" si="1"/>
        <v>100</v>
      </c>
      <c r="I18" s="62">
        <f>Inputs!$B$9</f>
        <v>1600</v>
      </c>
      <c r="J18" s="63">
        <f>COUNTIFS(Vehicles!$O$2:$O$51,"&lt;="&amp;B18,Vehicles!$P$2:$P$51,"&gt;"&amp;B18,Vehicles!$A$2:$A$51,"&lt;&gt;")</f>
        <v>0</v>
      </c>
    </row>
    <row r="19" spans="1:10">
      <c r="A19" s="58">
        <v>18</v>
      </c>
      <c r="B19" s="59">
        <v>4.25</v>
      </c>
      <c r="C19" s="60">
        <f>MOD(Inputs!$B$12+B19/24,1)</f>
        <v>0.67708333333333337</v>
      </c>
      <c r="D19" s="61">
        <f>SUMIFS(Vehicles!$J$2:$J$51,Vehicles!$O$2:$O$51,"&lt;="&amp;B19,Vehicles!$Q$2:$Q$51,"&gt;"&amp;B19)</f>
        <v>0</v>
      </c>
      <c r="E19" s="62">
        <f>SUMIFS(Vehicles!$M$2:$M$51,Vehicles!$O$2:$O$51,"&lt;="&amp;B19,Vehicles!$P$2:$P$51,"&gt;"&amp;B19)</f>
        <v>0</v>
      </c>
      <c r="F19" s="62">
        <f>Inputs!$B$8</f>
        <v>100</v>
      </c>
      <c r="G19" s="62">
        <f t="shared" si="0"/>
        <v>100</v>
      </c>
      <c r="H19" s="62">
        <f t="shared" si="1"/>
        <v>100</v>
      </c>
      <c r="I19" s="62">
        <f>Inputs!$B$9</f>
        <v>1600</v>
      </c>
      <c r="J19" s="63">
        <f>COUNTIFS(Vehicles!$O$2:$O$51,"&lt;="&amp;B19,Vehicles!$P$2:$P$51,"&gt;"&amp;B19,Vehicles!$A$2:$A$51,"&lt;&gt;")</f>
        <v>0</v>
      </c>
    </row>
    <row r="20" spans="1:10">
      <c r="A20" s="58">
        <v>19</v>
      </c>
      <c r="B20" s="59">
        <v>4.5</v>
      </c>
      <c r="C20" s="60">
        <f>MOD(Inputs!$B$12+B20/24,1)</f>
        <v>0.6875</v>
      </c>
      <c r="D20" s="61">
        <f>SUMIFS(Vehicles!$J$2:$J$51,Vehicles!$O$2:$O$51,"&lt;="&amp;B20,Vehicles!$Q$2:$Q$51,"&gt;"&amp;B20)</f>
        <v>0</v>
      </c>
      <c r="E20" s="62">
        <f>SUMIFS(Vehicles!$M$2:$M$51,Vehicles!$O$2:$O$51,"&lt;="&amp;B20,Vehicles!$P$2:$P$51,"&gt;"&amp;B20)</f>
        <v>0</v>
      </c>
      <c r="F20" s="62">
        <f>Inputs!$B$8</f>
        <v>100</v>
      </c>
      <c r="G20" s="62">
        <f t="shared" si="0"/>
        <v>100</v>
      </c>
      <c r="H20" s="62">
        <f t="shared" si="1"/>
        <v>100</v>
      </c>
      <c r="I20" s="62">
        <f>Inputs!$B$9</f>
        <v>1600</v>
      </c>
      <c r="J20" s="63">
        <f>COUNTIFS(Vehicles!$O$2:$O$51,"&lt;="&amp;B20,Vehicles!$P$2:$P$51,"&gt;"&amp;B20,Vehicles!$A$2:$A$51,"&lt;&gt;")</f>
        <v>0</v>
      </c>
    </row>
    <row r="21" spans="1:10">
      <c r="A21" s="58">
        <v>20</v>
      </c>
      <c r="B21" s="59">
        <v>4.75</v>
      </c>
      <c r="C21" s="60">
        <f>MOD(Inputs!$B$12+B21/24,1)</f>
        <v>0.69791666666666663</v>
      </c>
      <c r="D21" s="61">
        <f>SUMIFS(Vehicles!$J$2:$J$51,Vehicles!$O$2:$O$51,"&lt;="&amp;B21,Vehicles!$Q$2:$Q$51,"&gt;"&amp;B21)</f>
        <v>0</v>
      </c>
      <c r="E21" s="62">
        <f>SUMIFS(Vehicles!$M$2:$M$51,Vehicles!$O$2:$O$51,"&lt;="&amp;B21,Vehicles!$P$2:$P$51,"&gt;"&amp;B21)</f>
        <v>0</v>
      </c>
      <c r="F21" s="62">
        <f>Inputs!$B$8</f>
        <v>100</v>
      </c>
      <c r="G21" s="62">
        <f t="shared" si="0"/>
        <v>100</v>
      </c>
      <c r="H21" s="62">
        <f t="shared" si="1"/>
        <v>100</v>
      </c>
      <c r="I21" s="62">
        <f>Inputs!$B$9</f>
        <v>1600</v>
      </c>
      <c r="J21" s="63">
        <f>COUNTIFS(Vehicles!$O$2:$O$51,"&lt;="&amp;B21,Vehicles!$P$2:$P$51,"&gt;"&amp;B21,Vehicles!$A$2:$A$51,"&lt;&gt;")</f>
        <v>0</v>
      </c>
    </row>
    <row r="22" spans="1:10">
      <c r="A22" s="58">
        <v>21</v>
      </c>
      <c r="B22" s="59">
        <v>5</v>
      </c>
      <c r="C22" s="60">
        <f>MOD(Inputs!$B$12+B22/24,1)</f>
        <v>0.70833333333333337</v>
      </c>
      <c r="D22" s="61">
        <f>SUMIFS(Vehicles!$J$2:$J$51,Vehicles!$O$2:$O$51,"&lt;="&amp;B22,Vehicles!$Q$2:$Q$51,"&gt;"&amp;B22)</f>
        <v>0</v>
      </c>
      <c r="E22" s="62">
        <f>SUMIFS(Vehicles!$M$2:$M$51,Vehicles!$O$2:$O$51,"&lt;="&amp;B22,Vehicles!$P$2:$P$51,"&gt;"&amp;B22)</f>
        <v>0</v>
      </c>
      <c r="F22" s="62">
        <f>Inputs!$B$8</f>
        <v>100</v>
      </c>
      <c r="G22" s="62">
        <f t="shared" si="0"/>
        <v>100</v>
      </c>
      <c r="H22" s="62">
        <f t="shared" si="1"/>
        <v>100</v>
      </c>
      <c r="I22" s="62">
        <f>Inputs!$B$9</f>
        <v>1600</v>
      </c>
      <c r="J22" s="63">
        <f>COUNTIFS(Vehicles!$O$2:$O$51,"&lt;="&amp;B22,Vehicles!$P$2:$P$51,"&gt;"&amp;B22,Vehicles!$A$2:$A$51,"&lt;&gt;")</f>
        <v>0</v>
      </c>
    </row>
    <row r="23" spans="1:10">
      <c r="A23" s="58">
        <v>22</v>
      </c>
      <c r="B23" s="59">
        <v>5.25</v>
      </c>
      <c r="C23" s="60">
        <f>MOD(Inputs!$B$12+B23/24,1)</f>
        <v>0.71875</v>
      </c>
      <c r="D23" s="61">
        <f>SUMIFS(Vehicles!$J$2:$J$51,Vehicles!$O$2:$O$51,"&lt;="&amp;B23,Vehicles!$Q$2:$Q$51,"&gt;"&amp;B23)</f>
        <v>0</v>
      </c>
      <c r="E23" s="62">
        <f>SUMIFS(Vehicles!$M$2:$M$51,Vehicles!$O$2:$O$51,"&lt;="&amp;B23,Vehicles!$P$2:$P$51,"&gt;"&amp;B23)</f>
        <v>0</v>
      </c>
      <c r="F23" s="62">
        <f>Inputs!$B$8</f>
        <v>100</v>
      </c>
      <c r="G23" s="62">
        <f t="shared" si="0"/>
        <v>100</v>
      </c>
      <c r="H23" s="62">
        <f t="shared" si="1"/>
        <v>100</v>
      </c>
      <c r="I23" s="62">
        <f>Inputs!$B$9</f>
        <v>1600</v>
      </c>
      <c r="J23" s="63">
        <f>COUNTIFS(Vehicles!$O$2:$O$51,"&lt;="&amp;B23,Vehicles!$P$2:$P$51,"&gt;"&amp;B23,Vehicles!$A$2:$A$51,"&lt;&gt;")</f>
        <v>0</v>
      </c>
    </row>
    <row r="24" spans="1:10">
      <c r="A24" s="58">
        <v>23</v>
      </c>
      <c r="B24" s="59">
        <v>5.5</v>
      </c>
      <c r="C24" s="60">
        <f>MOD(Inputs!$B$12+B24/24,1)</f>
        <v>0.72916666666666663</v>
      </c>
      <c r="D24" s="61">
        <f>SUMIFS(Vehicles!$J$2:$J$51,Vehicles!$O$2:$O$51,"&lt;="&amp;B24,Vehicles!$Q$2:$Q$51,"&gt;"&amp;B24)</f>
        <v>0</v>
      </c>
      <c r="E24" s="62">
        <f>SUMIFS(Vehicles!$M$2:$M$51,Vehicles!$O$2:$O$51,"&lt;="&amp;B24,Vehicles!$P$2:$P$51,"&gt;"&amp;B24)</f>
        <v>0</v>
      </c>
      <c r="F24" s="62">
        <f>Inputs!$B$8</f>
        <v>100</v>
      </c>
      <c r="G24" s="62">
        <f t="shared" si="0"/>
        <v>100</v>
      </c>
      <c r="H24" s="62">
        <f t="shared" si="1"/>
        <v>100</v>
      </c>
      <c r="I24" s="62">
        <f>Inputs!$B$9</f>
        <v>1600</v>
      </c>
      <c r="J24" s="63">
        <f>COUNTIFS(Vehicles!$O$2:$O$51,"&lt;="&amp;B24,Vehicles!$P$2:$P$51,"&gt;"&amp;B24,Vehicles!$A$2:$A$51,"&lt;&gt;")</f>
        <v>0</v>
      </c>
    </row>
    <row r="25" spans="1:10">
      <c r="A25" s="58">
        <v>24</v>
      </c>
      <c r="B25" s="59">
        <v>5.75</v>
      </c>
      <c r="C25" s="60">
        <f>MOD(Inputs!$B$12+B25/24,1)</f>
        <v>0.73958333333333337</v>
      </c>
      <c r="D25" s="61">
        <f>SUMIFS(Vehicles!$J$2:$J$51,Vehicles!$O$2:$O$51,"&lt;="&amp;B25,Vehicles!$Q$2:$Q$51,"&gt;"&amp;B25)</f>
        <v>0</v>
      </c>
      <c r="E25" s="62">
        <f>SUMIFS(Vehicles!$M$2:$M$51,Vehicles!$O$2:$O$51,"&lt;="&amp;B25,Vehicles!$P$2:$P$51,"&gt;"&amp;B25)</f>
        <v>0</v>
      </c>
      <c r="F25" s="62">
        <f>Inputs!$B$8</f>
        <v>100</v>
      </c>
      <c r="G25" s="62">
        <f t="shared" si="0"/>
        <v>100</v>
      </c>
      <c r="H25" s="62">
        <f t="shared" si="1"/>
        <v>100</v>
      </c>
      <c r="I25" s="62">
        <f>Inputs!$B$9</f>
        <v>1600</v>
      </c>
      <c r="J25" s="63">
        <f>COUNTIFS(Vehicles!$O$2:$O$51,"&lt;="&amp;B25,Vehicles!$P$2:$P$51,"&gt;"&amp;B25,Vehicles!$A$2:$A$51,"&lt;&gt;")</f>
        <v>0</v>
      </c>
    </row>
    <row r="26" spans="1:10">
      <c r="A26" s="58">
        <v>25</v>
      </c>
      <c r="B26" s="59">
        <v>6</v>
      </c>
      <c r="C26" s="60">
        <f>MOD(Inputs!$B$12+B26/24,1)</f>
        <v>0.75</v>
      </c>
      <c r="D26" s="61">
        <f>SUMIFS(Vehicles!$J$2:$J$51,Vehicles!$O$2:$O$51,"&lt;="&amp;B26,Vehicles!$Q$2:$Q$51,"&gt;"&amp;B26)</f>
        <v>120</v>
      </c>
      <c r="E26" s="62">
        <f>SUMIFS(Vehicles!$M$2:$M$51,Vehicles!$O$2:$O$51,"&lt;="&amp;B26,Vehicles!$P$2:$P$51,"&gt;"&amp;B26)</f>
        <v>16.851063831012766</v>
      </c>
      <c r="F26" s="62">
        <f>Inputs!$B$8</f>
        <v>100</v>
      </c>
      <c r="G26" s="62">
        <f t="shared" si="0"/>
        <v>220</v>
      </c>
      <c r="H26" s="62">
        <f t="shared" si="1"/>
        <v>116.85106383101277</v>
      </c>
      <c r="I26" s="62">
        <f>Inputs!$B$9</f>
        <v>1600</v>
      </c>
      <c r="J26" s="63">
        <f>COUNTIFS(Vehicles!$O$2:$O$51,"&lt;="&amp;B26,Vehicles!$P$2:$P$51,"&gt;"&amp;B26,Vehicles!$A$2:$A$51,"&lt;&gt;")</f>
        <v>1</v>
      </c>
    </row>
    <row r="27" spans="1:10">
      <c r="A27" s="58">
        <v>26</v>
      </c>
      <c r="B27" s="59">
        <v>6.25</v>
      </c>
      <c r="C27" s="60">
        <f>MOD(Inputs!$B$12+B27/24,1)</f>
        <v>0.76041666666666674</v>
      </c>
      <c r="D27" s="61">
        <f>SUMIFS(Vehicles!$J$2:$J$51,Vehicles!$O$2:$O$51,"&lt;="&amp;B27,Vehicles!$Q$2:$Q$51,"&gt;"&amp;B27)</f>
        <v>120</v>
      </c>
      <c r="E27" s="62">
        <f>SUMIFS(Vehicles!$M$2:$M$51,Vehicles!$O$2:$O$51,"&lt;="&amp;B27,Vehicles!$P$2:$P$51,"&gt;"&amp;B27)</f>
        <v>16.851063831012766</v>
      </c>
      <c r="F27" s="62">
        <f>Inputs!$B$8</f>
        <v>100</v>
      </c>
      <c r="G27" s="62">
        <f t="shared" si="0"/>
        <v>220</v>
      </c>
      <c r="H27" s="62">
        <f t="shared" si="1"/>
        <v>116.85106383101277</v>
      </c>
      <c r="I27" s="62">
        <f>Inputs!$B$9</f>
        <v>1600</v>
      </c>
      <c r="J27" s="63">
        <f>COUNTIFS(Vehicles!$O$2:$O$51,"&lt;="&amp;B27,Vehicles!$P$2:$P$51,"&gt;"&amp;B27,Vehicles!$A$2:$A$51,"&lt;&gt;")</f>
        <v>1</v>
      </c>
    </row>
    <row r="28" spans="1:10">
      <c r="A28" s="58">
        <v>27</v>
      </c>
      <c r="B28" s="59">
        <v>6.5</v>
      </c>
      <c r="C28" s="60">
        <f>MOD(Inputs!$B$12+B28/24,1)</f>
        <v>0.77083333333333326</v>
      </c>
      <c r="D28" s="61">
        <f>SUMIFS(Vehicles!$J$2:$J$51,Vehicles!$O$2:$O$51,"&lt;="&amp;B28,Vehicles!$Q$2:$Q$51,"&gt;"&amp;B28)</f>
        <v>240</v>
      </c>
      <c r="E28" s="62">
        <f>SUMIFS(Vehicles!$M$2:$M$51,Vehicles!$O$2:$O$51,"&lt;="&amp;B28,Vehicles!$P$2:$P$51,"&gt;"&amp;B28)</f>
        <v>32.472043542863638</v>
      </c>
      <c r="F28" s="62">
        <f>Inputs!$B$8</f>
        <v>100</v>
      </c>
      <c r="G28" s="62">
        <f t="shared" si="0"/>
        <v>340</v>
      </c>
      <c r="H28" s="62">
        <f t="shared" si="1"/>
        <v>132.47204354286364</v>
      </c>
      <c r="I28" s="62">
        <f>Inputs!$B$9</f>
        <v>1600</v>
      </c>
      <c r="J28" s="63">
        <f>COUNTIFS(Vehicles!$O$2:$O$51,"&lt;="&amp;B28,Vehicles!$P$2:$P$51,"&gt;"&amp;B28,Vehicles!$A$2:$A$51,"&lt;&gt;")</f>
        <v>2</v>
      </c>
    </row>
    <row r="29" spans="1:10">
      <c r="A29" s="58">
        <v>28</v>
      </c>
      <c r="B29" s="59">
        <v>6.75</v>
      </c>
      <c r="C29" s="60">
        <f>MOD(Inputs!$B$12+B29/24,1)</f>
        <v>0.78125</v>
      </c>
      <c r="D29" s="61">
        <f>SUMIFS(Vehicles!$J$2:$J$51,Vehicles!$O$2:$O$51,"&lt;="&amp;B29,Vehicles!$Q$2:$Q$51,"&gt;"&amp;B29)</f>
        <v>240</v>
      </c>
      <c r="E29" s="62">
        <f>SUMIFS(Vehicles!$M$2:$M$51,Vehicles!$O$2:$O$51,"&lt;="&amp;B29,Vehicles!$P$2:$P$51,"&gt;"&amp;B29)</f>
        <v>32.472043542863638</v>
      </c>
      <c r="F29" s="62">
        <f>Inputs!$B$8</f>
        <v>100</v>
      </c>
      <c r="G29" s="62">
        <f t="shared" si="0"/>
        <v>340</v>
      </c>
      <c r="H29" s="62">
        <f t="shared" si="1"/>
        <v>132.47204354286364</v>
      </c>
      <c r="I29" s="62">
        <f>Inputs!$B$9</f>
        <v>1600</v>
      </c>
      <c r="J29" s="63">
        <f>COUNTIFS(Vehicles!$O$2:$O$51,"&lt;="&amp;B29,Vehicles!$P$2:$P$51,"&gt;"&amp;B29,Vehicles!$A$2:$A$51,"&lt;&gt;")</f>
        <v>2</v>
      </c>
    </row>
    <row r="30" spans="1:10">
      <c r="A30" s="58">
        <v>29</v>
      </c>
      <c r="B30" s="59">
        <v>7</v>
      </c>
      <c r="C30" s="60">
        <f>MOD(Inputs!$B$12+B30/24,1)</f>
        <v>0.79166666666666674</v>
      </c>
      <c r="D30" s="61">
        <f>SUMIFS(Vehicles!$J$2:$J$51,Vehicles!$O$2:$O$51,"&lt;="&amp;B30,Vehicles!$Q$2:$Q$51,"&gt;"&amp;B30)</f>
        <v>240</v>
      </c>
      <c r="E30" s="62">
        <f>SUMIFS(Vehicles!$M$2:$M$51,Vehicles!$O$2:$O$51,"&lt;="&amp;B30,Vehicles!$P$2:$P$51,"&gt;"&amp;B30)</f>
        <v>32.472043542863638</v>
      </c>
      <c r="F30" s="62">
        <f>Inputs!$B$8</f>
        <v>100</v>
      </c>
      <c r="G30" s="62">
        <f t="shared" si="0"/>
        <v>340</v>
      </c>
      <c r="H30" s="62">
        <f t="shared" si="1"/>
        <v>132.47204354286364</v>
      </c>
      <c r="I30" s="62">
        <f>Inputs!$B$9</f>
        <v>1600</v>
      </c>
      <c r="J30" s="63">
        <f>COUNTIFS(Vehicles!$O$2:$O$51,"&lt;="&amp;B30,Vehicles!$P$2:$P$51,"&gt;"&amp;B30,Vehicles!$A$2:$A$51,"&lt;&gt;")</f>
        <v>2</v>
      </c>
    </row>
    <row r="31" spans="1:10">
      <c r="A31" s="58">
        <v>30</v>
      </c>
      <c r="B31" s="59">
        <v>7.25</v>
      </c>
      <c r="C31" s="60">
        <f>MOD(Inputs!$B$12+B31/24,1)</f>
        <v>0.80208333333333326</v>
      </c>
      <c r="D31" s="61">
        <f>SUMIFS(Vehicles!$J$2:$J$51,Vehicles!$O$2:$O$51,"&lt;="&amp;B31,Vehicles!$Q$2:$Q$51,"&gt;"&amp;B31)</f>
        <v>360</v>
      </c>
      <c r="E31" s="62">
        <f>SUMIFS(Vehicles!$M$2:$M$51,Vehicles!$O$2:$O$51,"&lt;="&amp;B31,Vehicles!$P$2:$P$51,"&gt;"&amp;B31)</f>
        <v>52.26535661277245</v>
      </c>
      <c r="F31" s="62">
        <f>Inputs!$B$8</f>
        <v>100</v>
      </c>
      <c r="G31" s="62">
        <f t="shared" si="0"/>
        <v>460</v>
      </c>
      <c r="H31" s="62">
        <f t="shared" si="1"/>
        <v>152.26535661277245</v>
      </c>
      <c r="I31" s="62">
        <f>Inputs!$B$9</f>
        <v>1600</v>
      </c>
      <c r="J31" s="63">
        <f>COUNTIFS(Vehicles!$O$2:$O$51,"&lt;="&amp;B31,Vehicles!$P$2:$P$51,"&gt;"&amp;B31,Vehicles!$A$2:$A$51,"&lt;&gt;")</f>
        <v>3</v>
      </c>
    </row>
    <row r="32" spans="1:10">
      <c r="A32" s="58">
        <v>31</v>
      </c>
      <c r="B32" s="59">
        <v>7.5</v>
      </c>
      <c r="C32" s="60">
        <f>MOD(Inputs!$B$12+B32/24,1)</f>
        <v>0.8125</v>
      </c>
      <c r="D32" s="61">
        <f>SUMIFS(Vehicles!$J$2:$J$51,Vehicles!$O$2:$O$51,"&lt;="&amp;B32,Vehicles!$Q$2:$Q$51,"&gt;"&amp;B32)</f>
        <v>480</v>
      </c>
      <c r="E32" s="62">
        <f>SUMIFS(Vehicles!$M$2:$M$51,Vehicles!$O$2:$O$51,"&lt;="&amp;B32,Vehicles!$P$2:$P$51,"&gt;"&amp;B32)</f>
        <v>66.627577682912602</v>
      </c>
      <c r="F32" s="62">
        <f>Inputs!$B$8</f>
        <v>100</v>
      </c>
      <c r="G32" s="62">
        <f t="shared" si="0"/>
        <v>580</v>
      </c>
      <c r="H32" s="62">
        <f t="shared" si="1"/>
        <v>166.6275776829126</v>
      </c>
      <c r="I32" s="62">
        <f>Inputs!$B$9</f>
        <v>1600</v>
      </c>
      <c r="J32" s="63">
        <f>COUNTIFS(Vehicles!$O$2:$O$51,"&lt;="&amp;B32,Vehicles!$P$2:$P$51,"&gt;"&amp;B32,Vehicles!$A$2:$A$51,"&lt;&gt;")</f>
        <v>4</v>
      </c>
    </row>
    <row r="33" spans="1:10">
      <c r="A33" s="58">
        <v>32</v>
      </c>
      <c r="B33" s="59">
        <v>7.75</v>
      </c>
      <c r="C33" s="60">
        <f>MOD(Inputs!$B$12+B33/24,1)</f>
        <v>0.82291666666666674</v>
      </c>
      <c r="D33" s="61">
        <f>SUMIFS(Vehicles!$J$2:$J$51,Vehicles!$O$2:$O$51,"&lt;="&amp;B33,Vehicles!$Q$2:$Q$51,"&gt;"&amp;B33)</f>
        <v>360</v>
      </c>
      <c r="E33" s="62">
        <f>SUMIFS(Vehicles!$M$2:$M$51,Vehicles!$O$2:$O$51,"&lt;="&amp;B33,Vehicles!$P$2:$P$51,"&gt;"&amp;B33)</f>
        <v>66.627577682912602</v>
      </c>
      <c r="F33" s="62">
        <f>Inputs!$B$8</f>
        <v>100</v>
      </c>
      <c r="G33" s="62">
        <f t="shared" si="0"/>
        <v>460</v>
      </c>
      <c r="H33" s="62">
        <f t="shared" si="1"/>
        <v>166.6275776829126</v>
      </c>
      <c r="I33" s="62">
        <f>Inputs!$B$9</f>
        <v>1600</v>
      </c>
      <c r="J33" s="63">
        <f>COUNTIFS(Vehicles!$O$2:$O$51,"&lt;="&amp;B33,Vehicles!$P$2:$P$51,"&gt;"&amp;B33,Vehicles!$A$2:$A$51,"&lt;&gt;")</f>
        <v>4</v>
      </c>
    </row>
    <row r="34" spans="1:10">
      <c r="A34" s="58">
        <v>33</v>
      </c>
      <c r="B34" s="59">
        <v>8</v>
      </c>
      <c r="C34" s="60">
        <f>MOD(Inputs!$B$12+B34/24,1)</f>
        <v>0.83333333333333326</v>
      </c>
      <c r="D34" s="61">
        <f>SUMIFS(Vehicles!$J$2:$J$51,Vehicles!$O$2:$O$51,"&lt;="&amp;B34,Vehicles!$Q$2:$Q$51,"&gt;"&amp;B34)</f>
        <v>360</v>
      </c>
      <c r="E34" s="62">
        <f>SUMIFS(Vehicles!$M$2:$M$51,Vehicles!$O$2:$O$51,"&lt;="&amp;B34,Vehicles!$P$2:$P$51,"&gt;"&amp;B34)</f>
        <v>89.750981936381891</v>
      </c>
      <c r="F34" s="62">
        <f>Inputs!$B$8</f>
        <v>100</v>
      </c>
      <c r="G34" s="62">
        <f t="shared" ref="G34:G65" si="2">D34+F34</f>
        <v>460</v>
      </c>
      <c r="H34" s="62">
        <f t="shared" ref="H34:H65" si="3">E34+F34</f>
        <v>189.75098193638189</v>
      </c>
      <c r="I34" s="62">
        <f>Inputs!$B$9</f>
        <v>1600</v>
      </c>
      <c r="J34" s="63">
        <f>COUNTIFS(Vehicles!$O$2:$O$51,"&lt;="&amp;B34,Vehicles!$P$2:$P$51,"&gt;"&amp;B34,Vehicles!$A$2:$A$51,"&lt;&gt;")</f>
        <v>5</v>
      </c>
    </row>
    <row r="35" spans="1:10">
      <c r="A35" s="58">
        <v>34</v>
      </c>
      <c r="B35" s="59">
        <v>8.25</v>
      </c>
      <c r="C35" s="60">
        <f>MOD(Inputs!$B$12+B35/24,1)</f>
        <v>0.84375</v>
      </c>
      <c r="D35" s="61">
        <f>SUMIFS(Vehicles!$J$2:$J$51,Vehicles!$O$2:$O$51,"&lt;="&amp;B35,Vehicles!$Q$2:$Q$51,"&gt;"&amp;B35)</f>
        <v>360</v>
      </c>
      <c r="E35" s="62">
        <f>SUMIFS(Vehicles!$M$2:$M$51,Vehicles!$O$2:$O$51,"&lt;="&amp;B35,Vehicles!$P$2:$P$51,"&gt;"&amp;B35)</f>
        <v>89.750981936381891</v>
      </c>
      <c r="F35" s="62">
        <f>Inputs!$B$8</f>
        <v>100</v>
      </c>
      <c r="G35" s="62">
        <f t="shared" si="2"/>
        <v>460</v>
      </c>
      <c r="H35" s="62">
        <f t="shared" si="3"/>
        <v>189.75098193638189</v>
      </c>
      <c r="I35" s="62">
        <f>Inputs!$B$9</f>
        <v>1600</v>
      </c>
      <c r="J35" s="63">
        <f>COUNTIFS(Vehicles!$O$2:$O$51,"&lt;="&amp;B35,Vehicles!$P$2:$P$51,"&gt;"&amp;B35,Vehicles!$A$2:$A$51,"&lt;&gt;")</f>
        <v>5</v>
      </c>
    </row>
    <row r="36" spans="1:10">
      <c r="A36" s="58">
        <v>35</v>
      </c>
      <c r="B36" s="59">
        <v>8.5</v>
      </c>
      <c r="C36" s="60">
        <f>MOD(Inputs!$B$12+B36/24,1)</f>
        <v>0.85416666666666674</v>
      </c>
      <c r="D36" s="61">
        <f>SUMIFS(Vehicles!$J$2:$J$51,Vehicles!$O$2:$O$51,"&lt;="&amp;B36,Vehicles!$Q$2:$Q$51,"&gt;"&amp;B36)</f>
        <v>360</v>
      </c>
      <c r="E36" s="62">
        <f>SUMIFS(Vehicles!$M$2:$M$51,Vehicles!$O$2:$O$51,"&lt;="&amp;B36,Vehicles!$P$2:$P$51,"&gt;"&amp;B36)</f>
        <v>89.750981936381891</v>
      </c>
      <c r="F36" s="62">
        <f>Inputs!$B$8</f>
        <v>100</v>
      </c>
      <c r="G36" s="62">
        <f t="shared" si="2"/>
        <v>460</v>
      </c>
      <c r="H36" s="62">
        <f t="shared" si="3"/>
        <v>189.75098193638189</v>
      </c>
      <c r="I36" s="62">
        <f>Inputs!$B$9</f>
        <v>1600</v>
      </c>
      <c r="J36" s="63">
        <f>COUNTIFS(Vehicles!$O$2:$O$51,"&lt;="&amp;B36,Vehicles!$P$2:$P$51,"&gt;"&amp;B36,Vehicles!$A$2:$A$51,"&lt;&gt;")</f>
        <v>5</v>
      </c>
    </row>
    <row r="37" spans="1:10">
      <c r="A37" s="58">
        <v>36</v>
      </c>
      <c r="B37" s="59">
        <v>8.75</v>
      </c>
      <c r="C37" s="60">
        <f>MOD(Inputs!$B$12+B37/24,1)</f>
        <v>0.86458333333333326</v>
      </c>
      <c r="D37" s="61">
        <f>SUMIFS(Vehicles!$J$2:$J$51,Vehicles!$O$2:$O$51,"&lt;="&amp;B37,Vehicles!$Q$2:$Q$51,"&gt;"&amp;B37)</f>
        <v>240</v>
      </c>
      <c r="E37" s="62">
        <f>SUMIFS(Vehicles!$M$2:$M$51,Vehicles!$O$2:$O$51,"&lt;="&amp;B37,Vehicles!$P$2:$P$51,"&gt;"&amp;B37)</f>
        <v>108.07231308750028</v>
      </c>
      <c r="F37" s="62">
        <f>Inputs!$B$8</f>
        <v>100</v>
      </c>
      <c r="G37" s="62">
        <f t="shared" si="2"/>
        <v>340</v>
      </c>
      <c r="H37" s="62">
        <f t="shared" si="3"/>
        <v>208.07231308750028</v>
      </c>
      <c r="I37" s="62">
        <f>Inputs!$B$9</f>
        <v>1600</v>
      </c>
      <c r="J37" s="63">
        <f>COUNTIFS(Vehicles!$O$2:$O$51,"&lt;="&amp;B37,Vehicles!$P$2:$P$51,"&gt;"&amp;B37,Vehicles!$A$2:$A$51,"&lt;&gt;")</f>
        <v>6</v>
      </c>
    </row>
    <row r="38" spans="1:10">
      <c r="A38" s="58">
        <v>37</v>
      </c>
      <c r="B38" s="59">
        <v>9</v>
      </c>
      <c r="C38" s="60">
        <f>MOD(Inputs!$B$12+B38/24,1)</f>
        <v>0.875</v>
      </c>
      <c r="D38" s="61">
        <f>SUMIFS(Vehicles!$J$2:$J$51,Vehicles!$O$2:$O$51,"&lt;="&amp;B38,Vehicles!$Q$2:$Q$51,"&gt;"&amp;B38)</f>
        <v>360</v>
      </c>
      <c r="E38" s="62">
        <f>SUMIFS(Vehicles!$M$2:$M$51,Vehicles!$O$2:$O$51,"&lt;="&amp;B38,Vehicles!$P$2:$P$51,"&gt;"&amp;B38)</f>
        <v>129.2038920366482</v>
      </c>
      <c r="F38" s="62">
        <f>Inputs!$B$8</f>
        <v>100</v>
      </c>
      <c r="G38" s="62">
        <f t="shared" si="2"/>
        <v>460</v>
      </c>
      <c r="H38" s="62">
        <f t="shared" si="3"/>
        <v>229.2038920366482</v>
      </c>
      <c r="I38" s="62">
        <f>Inputs!$B$9</f>
        <v>1600</v>
      </c>
      <c r="J38" s="63">
        <f>COUNTIFS(Vehicles!$O$2:$O$51,"&lt;="&amp;B38,Vehicles!$P$2:$P$51,"&gt;"&amp;B38,Vehicles!$A$2:$A$51,"&lt;&gt;")</f>
        <v>7</v>
      </c>
    </row>
    <row r="39" spans="1:10">
      <c r="A39" s="58">
        <v>38</v>
      </c>
      <c r="B39" s="59">
        <v>9.25</v>
      </c>
      <c r="C39" s="60">
        <f>MOD(Inputs!$B$12+B39/24,1)</f>
        <v>0.88541666666666674</v>
      </c>
      <c r="D39" s="61">
        <f>SUMIFS(Vehicles!$J$2:$J$51,Vehicles!$O$2:$O$51,"&lt;="&amp;B39,Vehicles!$Q$2:$Q$51,"&gt;"&amp;B39)</f>
        <v>360</v>
      </c>
      <c r="E39" s="62">
        <f>SUMIFS(Vehicles!$M$2:$M$51,Vehicles!$O$2:$O$51,"&lt;="&amp;B39,Vehicles!$P$2:$P$51,"&gt;"&amp;B39)</f>
        <v>129.2038920366482</v>
      </c>
      <c r="F39" s="62">
        <f>Inputs!$B$8</f>
        <v>100</v>
      </c>
      <c r="G39" s="62">
        <f t="shared" si="2"/>
        <v>460</v>
      </c>
      <c r="H39" s="62">
        <f t="shared" si="3"/>
        <v>229.2038920366482</v>
      </c>
      <c r="I39" s="62">
        <f>Inputs!$B$9</f>
        <v>1600</v>
      </c>
      <c r="J39" s="63">
        <f>COUNTIFS(Vehicles!$O$2:$O$51,"&lt;="&amp;B39,Vehicles!$P$2:$P$51,"&gt;"&amp;B39,Vehicles!$A$2:$A$51,"&lt;&gt;")</f>
        <v>7</v>
      </c>
    </row>
    <row r="40" spans="1:10">
      <c r="A40" s="58">
        <v>39</v>
      </c>
      <c r="B40" s="59">
        <v>9.5</v>
      </c>
      <c r="C40" s="60">
        <f>MOD(Inputs!$B$12+B40/24,1)</f>
        <v>0.89583333333333326</v>
      </c>
      <c r="D40" s="61">
        <f>SUMIFS(Vehicles!$J$2:$J$51,Vehicles!$O$2:$O$51,"&lt;="&amp;B40,Vehicles!$Q$2:$Q$51,"&gt;"&amp;B40)</f>
        <v>480</v>
      </c>
      <c r="E40" s="62">
        <f>SUMIFS(Vehicles!$M$2:$M$51,Vehicles!$O$2:$O$51,"&lt;="&amp;B40,Vehicles!$P$2:$P$51,"&gt;"&amp;B40)</f>
        <v>146.66220140834128</v>
      </c>
      <c r="F40" s="62">
        <f>Inputs!$B$8</f>
        <v>100</v>
      </c>
      <c r="G40" s="62">
        <f t="shared" si="2"/>
        <v>580</v>
      </c>
      <c r="H40" s="62">
        <f t="shared" si="3"/>
        <v>246.66220140834128</v>
      </c>
      <c r="I40" s="62">
        <f>Inputs!$B$9</f>
        <v>1600</v>
      </c>
      <c r="J40" s="63">
        <f>COUNTIFS(Vehicles!$O$2:$O$51,"&lt;="&amp;B40,Vehicles!$P$2:$P$51,"&gt;"&amp;B40,Vehicles!$A$2:$A$51,"&lt;&gt;")</f>
        <v>8</v>
      </c>
    </row>
    <row r="41" spans="1:10">
      <c r="A41" s="58">
        <v>40</v>
      </c>
      <c r="B41" s="59">
        <v>9.75</v>
      </c>
      <c r="C41" s="60">
        <f>MOD(Inputs!$B$12+B41/24,1)</f>
        <v>0.90625</v>
      </c>
      <c r="D41" s="61">
        <f>SUMIFS(Vehicles!$J$2:$J$51,Vehicles!$O$2:$O$51,"&lt;="&amp;B41,Vehicles!$Q$2:$Q$51,"&gt;"&amp;B41)</f>
        <v>480</v>
      </c>
      <c r="E41" s="62">
        <f>SUMIFS(Vehicles!$M$2:$M$51,Vehicles!$O$2:$O$51,"&lt;="&amp;B41,Vehicles!$P$2:$P$51,"&gt;"&amp;B41)</f>
        <v>146.66220140834128</v>
      </c>
      <c r="F41" s="62">
        <f>Inputs!$B$8</f>
        <v>100</v>
      </c>
      <c r="G41" s="62">
        <f t="shared" si="2"/>
        <v>580</v>
      </c>
      <c r="H41" s="62">
        <f t="shared" si="3"/>
        <v>246.66220140834128</v>
      </c>
      <c r="I41" s="62">
        <f>Inputs!$B$9</f>
        <v>1600</v>
      </c>
      <c r="J41" s="63">
        <f>COUNTIFS(Vehicles!$O$2:$O$51,"&lt;="&amp;B41,Vehicles!$P$2:$P$51,"&gt;"&amp;B41,Vehicles!$A$2:$A$51,"&lt;&gt;")</f>
        <v>8</v>
      </c>
    </row>
    <row r="42" spans="1:10">
      <c r="A42" s="58">
        <v>41</v>
      </c>
      <c r="B42" s="59">
        <v>10</v>
      </c>
      <c r="C42" s="60">
        <f>MOD(Inputs!$B$12+B42/24,1)</f>
        <v>0.91666666666666674</v>
      </c>
      <c r="D42" s="61">
        <f>SUMIFS(Vehicles!$J$2:$J$51,Vehicles!$O$2:$O$51,"&lt;="&amp;B42,Vehicles!$Q$2:$Q$51,"&gt;"&amp;B42)</f>
        <v>240</v>
      </c>
      <c r="E42" s="62">
        <f>SUMIFS(Vehicles!$M$2:$M$51,Vehicles!$O$2:$O$51,"&lt;="&amp;B42,Vehicles!$P$2:$P$51,"&gt;"&amp;B42)</f>
        <v>146.66220140834128</v>
      </c>
      <c r="F42" s="62">
        <f>Inputs!$B$8</f>
        <v>100</v>
      </c>
      <c r="G42" s="62">
        <f t="shared" si="2"/>
        <v>340</v>
      </c>
      <c r="H42" s="62">
        <f t="shared" si="3"/>
        <v>246.66220140834128</v>
      </c>
      <c r="I42" s="62">
        <f>Inputs!$B$9</f>
        <v>1600</v>
      </c>
      <c r="J42" s="63">
        <f>COUNTIFS(Vehicles!$O$2:$O$51,"&lt;="&amp;B42,Vehicles!$P$2:$P$51,"&gt;"&amp;B42,Vehicles!$A$2:$A$51,"&lt;&gt;")</f>
        <v>8</v>
      </c>
    </row>
    <row r="43" spans="1:10">
      <c r="A43" s="58">
        <v>42</v>
      </c>
      <c r="B43" s="59">
        <v>10.25</v>
      </c>
      <c r="C43" s="60">
        <f>MOD(Inputs!$B$12+B43/24,1)</f>
        <v>0.92708333333333326</v>
      </c>
      <c r="D43" s="61">
        <f>SUMIFS(Vehicles!$J$2:$J$51,Vehicles!$O$2:$O$51,"&lt;="&amp;B43,Vehicles!$Q$2:$Q$51,"&gt;"&amp;B43)</f>
        <v>360</v>
      </c>
      <c r="E43" s="62">
        <f>SUMIFS(Vehicles!$M$2:$M$51,Vehicles!$O$2:$O$51,"&lt;="&amp;B43,Vehicles!$P$2:$P$51,"&gt;"&amp;B43)</f>
        <v>171.04163403245474</v>
      </c>
      <c r="F43" s="62">
        <f>Inputs!$B$8</f>
        <v>100</v>
      </c>
      <c r="G43" s="62">
        <f t="shared" si="2"/>
        <v>460</v>
      </c>
      <c r="H43" s="62">
        <f t="shared" si="3"/>
        <v>271.04163403245474</v>
      </c>
      <c r="I43" s="62">
        <f>Inputs!$B$9</f>
        <v>1600</v>
      </c>
      <c r="J43" s="63">
        <f>COUNTIFS(Vehicles!$O$2:$O$51,"&lt;="&amp;B43,Vehicles!$P$2:$P$51,"&gt;"&amp;B43,Vehicles!$A$2:$A$51,"&lt;&gt;")</f>
        <v>9</v>
      </c>
    </row>
    <row r="44" spans="1:10">
      <c r="A44" s="58">
        <v>43</v>
      </c>
      <c r="B44" s="59">
        <v>10.5</v>
      </c>
      <c r="C44" s="60">
        <f>MOD(Inputs!$B$12+B44/24,1)</f>
        <v>0.9375</v>
      </c>
      <c r="D44" s="61">
        <f>SUMIFS(Vehicles!$J$2:$J$51,Vehicles!$O$2:$O$51,"&lt;="&amp;B44,Vehicles!$Q$2:$Q$51,"&gt;"&amp;B44)</f>
        <v>480</v>
      </c>
      <c r="E44" s="62">
        <f>SUMIFS(Vehicles!$M$2:$M$51,Vehicles!$O$2:$O$51,"&lt;="&amp;B44,Vehicles!$P$2:$P$51,"&gt;"&amp;B44)</f>
        <v>188.82886807663419</v>
      </c>
      <c r="F44" s="62">
        <f>Inputs!$B$8</f>
        <v>100</v>
      </c>
      <c r="G44" s="62">
        <f t="shared" si="2"/>
        <v>580</v>
      </c>
      <c r="H44" s="62">
        <f t="shared" si="3"/>
        <v>288.82886807663419</v>
      </c>
      <c r="I44" s="62">
        <f>Inputs!$B$9</f>
        <v>1600</v>
      </c>
      <c r="J44" s="63">
        <f>COUNTIFS(Vehicles!$O$2:$O$51,"&lt;="&amp;B44,Vehicles!$P$2:$P$51,"&gt;"&amp;B44,Vehicles!$A$2:$A$51,"&lt;&gt;")</f>
        <v>10</v>
      </c>
    </row>
    <row r="45" spans="1:10">
      <c r="A45" s="58">
        <v>44</v>
      </c>
      <c r="B45" s="59">
        <v>10.75</v>
      </c>
      <c r="C45" s="60">
        <f>MOD(Inputs!$B$12+B45/24,1)</f>
        <v>0.94791666666666674</v>
      </c>
      <c r="D45" s="61">
        <f>SUMIFS(Vehicles!$J$2:$J$51,Vehicles!$O$2:$O$51,"&lt;="&amp;B45,Vehicles!$Q$2:$Q$51,"&gt;"&amp;B45)</f>
        <v>360</v>
      </c>
      <c r="E45" s="62">
        <f>SUMIFS(Vehicles!$M$2:$M$51,Vehicles!$O$2:$O$51,"&lt;="&amp;B45,Vehicles!$P$2:$P$51,"&gt;"&amp;B45)</f>
        <v>188.82886807663419</v>
      </c>
      <c r="F45" s="62">
        <f>Inputs!$B$8</f>
        <v>100</v>
      </c>
      <c r="G45" s="62">
        <f t="shared" si="2"/>
        <v>460</v>
      </c>
      <c r="H45" s="62">
        <f t="shared" si="3"/>
        <v>288.82886807663419</v>
      </c>
      <c r="I45" s="62">
        <f>Inputs!$B$9</f>
        <v>1600</v>
      </c>
      <c r="J45" s="63">
        <f>COUNTIFS(Vehicles!$O$2:$O$51,"&lt;="&amp;B45,Vehicles!$P$2:$P$51,"&gt;"&amp;B45,Vehicles!$A$2:$A$51,"&lt;&gt;")</f>
        <v>10</v>
      </c>
    </row>
    <row r="46" spans="1:10">
      <c r="A46" s="58">
        <v>45</v>
      </c>
      <c r="B46" s="59">
        <v>11</v>
      </c>
      <c r="C46" s="60">
        <f>MOD(Inputs!$B$12+B46/24,1)</f>
        <v>0.95833333333333326</v>
      </c>
      <c r="D46" s="61">
        <f>SUMIFS(Vehicles!$J$2:$J$51,Vehicles!$O$2:$O$51,"&lt;="&amp;B46,Vehicles!$Q$2:$Q$51,"&gt;"&amp;B46)</f>
        <v>240</v>
      </c>
      <c r="E46" s="62">
        <f>SUMIFS(Vehicles!$M$2:$M$51,Vehicles!$O$2:$O$51,"&lt;="&amp;B46,Vehicles!$P$2:$P$51,"&gt;"&amp;B46)</f>
        <v>188.82886807663419</v>
      </c>
      <c r="F46" s="62">
        <f>Inputs!$B$8</f>
        <v>100</v>
      </c>
      <c r="G46" s="62">
        <f t="shared" si="2"/>
        <v>340</v>
      </c>
      <c r="H46" s="62">
        <f t="shared" si="3"/>
        <v>288.82886807663419</v>
      </c>
      <c r="I46" s="62">
        <f>Inputs!$B$9</f>
        <v>1600</v>
      </c>
      <c r="J46" s="63">
        <f>COUNTIFS(Vehicles!$O$2:$O$51,"&lt;="&amp;B46,Vehicles!$P$2:$P$51,"&gt;"&amp;B46,Vehicles!$A$2:$A$51,"&lt;&gt;")</f>
        <v>10</v>
      </c>
    </row>
    <row r="47" spans="1:10">
      <c r="A47" s="58">
        <v>46</v>
      </c>
      <c r="B47" s="59">
        <v>11.25</v>
      </c>
      <c r="C47" s="60">
        <f>MOD(Inputs!$B$12+B47/24,1)</f>
        <v>0.96875</v>
      </c>
      <c r="D47" s="61">
        <f>SUMIFS(Vehicles!$J$2:$J$51,Vehicles!$O$2:$O$51,"&lt;="&amp;B47,Vehicles!$Q$2:$Q$51,"&gt;"&amp;B47)</f>
        <v>240</v>
      </c>
      <c r="E47" s="62">
        <f>SUMIFS(Vehicles!$M$2:$M$51,Vehicles!$O$2:$O$51,"&lt;="&amp;B47,Vehicles!$P$2:$P$51,"&gt;"&amp;B47)</f>
        <v>188.82886807663419</v>
      </c>
      <c r="F47" s="62">
        <f>Inputs!$B$8</f>
        <v>100</v>
      </c>
      <c r="G47" s="62">
        <f t="shared" si="2"/>
        <v>340</v>
      </c>
      <c r="H47" s="62">
        <f t="shared" si="3"/>
        <v>288.82886807663419</v>
      </c>
      <c r="I47" s="62">
        <f>Inputs!$B$9</f>
        <v>1600</v>
      </c>
      <c r="J47" s="63">
        <f>COUNTIFS(Vehicles!$O$2:$O$51,"&lt;="&amp;B47,Vehicles!$P$2:$P$51,"&gt;"&amp;B47,Vehicles!$A$2:$A$51,"&lt;&gt;")</f>
        <v>10</v>
      </c>
    </row>
    <row r="48" spans="1:10">
      <c r="A48" s="58">
        <v>47</v>
      </c>
      <c r="B48" s="59">
        <v>11.5</v>
      </c>
      <c r="C48" s="60">
        <f>MOD(Inputs!$B$12+B48/24,1)</f>
        <v>0.97916666666666674</v>
      </c>
      <c r="D48" s="61">
        <f>SUMIFS(Vehicles!$J$2:$J$51,Vehicles!$O$2:$O$51,"&lt;="&amp;B48,Vehicles!$Q$2:$Q$51,"&gt;"&amp;B48)</f>
        <v>240</v>
      </c>
      <c r="E48" s="62">
        <f>SUMIFS(Vehicles!$M$2:$M$51,Vehicles!$O$2:$O$51,"&lt;="&amp;B48,Vehicles!$P$2:$P$51,"&gt;"&amp;B48)</f>
        <v>188.82886807663419</v>
      </c>
      <c r="F48" s="62">
        <f>Inputs!$B$8</f>
        <v>100</v>
      </c>
      <c r="G48" s="62">
        <f t="shared" si="2"/>
        <v>340</v>
      </c>
      <c r="H48" s="62">
        <f t="shared" si="3"/>
        <v>288.82886807663419</v>
      </c>
      <c r="I48" s="62">
        <f>Inputs!$B$9</f>
        <v>1600</v>
      </c>
      <c r="J48" s="63">
        <f>COUNTIFS(Vehicles!$O$2:$O$51,"&lt;="&amp;B48,Vehicles!$P$2:$P$51,"&gt;"&amp;B48,Vehicles!$A$2:$A$51,"&lt;&gt;")</f>
        <v>10</v>
      </c>
    </row>
    <row r="49" spans="1:10">
      <c r="A49" s="58">
        <v>48</v>
      </c>
      <c r="B49" s="59">
        <v>11.75</v>
      </c>
      <c r="C49" s="60">
        <f>MOD(Inputs!$B$12+B49/24,1)</f>
        <v>0.98958333333333326</v>
      </c>
      <c r="D49" s="61">
        <f>SUMIFS(Vehicles!$J$2:$J$51,Vehicles!$O$2:$O$51,"&lt;="&amp;B49,Vehicles!$Q$2:$Q$51,"&gt;"&amp;B49)</f>
        <v>240</v>
      </c>
      <c r="E49" s="62">
        <f>SUMIFS(Vehicles!$M$2:$M$51,Vehicles!$O$2:$O$51,"&lt;="&amp;B49,Vehicles!$P$2:$P$51,"&gt;"&amp;B49)</f>
        <v>188.82886807663419</v>
      </c>
      <c r="F49" s="62">
        <f>Inputs!$B$8</f>
        <v>100</v>
      </c>
      <c r="G49" s="62">
        <f t="shared" si="2"/>
        <v>340</v>
      </c>
      <c r="H49" s="62">
        <f t="shared" si="3"/>
        <v>288.82886807663419</v>
      </c>
      <c r="I49" s="62">
        <f>Inputs!$B$9</f>
        <v>1600</v>
      </c>
      <c r="J49" s="63">
        <f>COUNTIFS(Vehicles!$O$2:$O$51,"&lt;="&amp;B49,Vehicles!$P$2:$P$51,"&gt;"&amp;B49,Vehicles!$A$2:$A$51,"&lt;&gt;")</f>
        <v>10</v>
      </c>
    </row>
    <row r="50" spans="1:10">
      <c r="A50" s="58">
        <v>49</v>
      </c>
      <c r="B50" s="59">
        <v>12</v>
      </c>
      <c r="C50" s="60">
        <f>MOD(Inputs!$B$12+B50/24,1)</f>
        <v>0</v>
      </c>
      <c r="D50" s="61">
        <f>SUMIFS(Vehicles!$J$2:$J$51,Vehicles!$O$2:$O$51,"&lt;="&amp;B50,Vehicles!$Q$2:$Q$51,"&gt;"&amp;B50)</f>
        <v>0</v>
      </c>
      <c r="E50" s="62">
        <f>SUMIFS(Vehicles!$M$2:$M$51,Vehicles!$O$2:$O$51,"&lt;="&amp;B50,Vehicles!$P$2:$P$51,"&gt;"&amp;B50)</f>
        <v>188.82886807663419</v>
      </c>
      <c r="F50" s="62">
        <f>Inputs!$B$8</f>
        <v>100</v>
      </c>
      <c r="G50" s="62">
        <f t="shared" si="2"/>
        <v>100</v>
      </c>
      <c r="H50" s="62">
        <f t="shared" si="3"/>
        <v>288.82886807663419</v>
      </c>
      <c r="I50" s="62">
        <f>Inputs!$B$9</f>
        <v>1600</v>
      </c>
      <c r="J50" s="63">
        <f>COUNTIFS(Vehicles!$O$2:$O$51,"&lt;="&amp;B50,Vehicles!$P$2:$P$51,"&gt;"&amp;B50,Vehicles!$A$2:$A$51,"&lt;&gt;")</f>
        <v>10</v>
      </c>
    </row>
    <row r="51" spans="1:10">
      <c r="A51" s="58">
        <v>50</v>
      </c>
      <c r="B51" s="59">
        <v>12.25</v>
      </c>
      <c r="C51" s="60">
        <f>MOD(Inputs!$B$12+B51/24,1)</f>
        <v>1.0416666666666519E-2</v>
      </c>
      <c r="D51" s="61">
        <f>SUMIFS(Vehicles!$J$2:$J$51,Vehicles!$O$2:$O$51,"&lt;="&amp;B51,Vehicles!$Q$2:$Q$51,"&gt;"&amp;B51)</f>
        <v>0</v>
      </c>
      <c r="E51" s="62">
        <f>SUMIFS(Vehicles!$M$2:$M$51,Vehicles!$O$2:$O$51,"&lt;="&amp;B51,Vehicles!$P$2:$P$51,"&gt;"&amp;B51)</f>
        <v>188.82886807663419</v>
      </c>
      <c r="F51" s="62">
        <f>Inputs!$B$8</f>
        <v>100</v>
      </c>
      <c r="G51" s="62">
        <f t="shared" si="2"/>
        <v>100</v>
      </c>
      <c r="H51" s="62">
        <f t="shared" si="3"/>
        <v>288.82886807663419</v>
      </c>
      <c r="I51" s="62">
        <f>Inputs!$B$9</f>
        <v>1600</v>
      </c>
      <c r="J51" s="63">
        <f>COUNTIFS(Vehicles!$O$2:$O$51,"&lt;="&amp;B51,Vehicles!$P$2:$P$51,"&gt;"&amp;B51,Vehicles!$A$2:$A$51,"&lt;&gt;")</f>
        <v>10</v>
      </c>
    </row>
    <row r="52" spans="1:10">
      <c r="A52" s="58">
        <v>51</v>
      </c>
      <c r="B52" s="59">
        <v>12.5</v>
      </c>
      <c r="C52" s="60">
        <f>MOD(Inputs!$B$12+B52/24,1)</f>
        <v>2.0833333333333481E-2</v>
      </c>
      <c r="D52" s="61">
        <f>SUMIFS(Vehicles!$J$2:$J$51,Vehicles!$O$2:$O$51,"&lt;="&amp;B52,Vehicles!$Q$2:$Q$51,"&gt;"&amp;B52)</f>
        <v>0</v>
      </c>
      <c r="E52" s="62">
        <f>SUMIFS(Vehicles!$M$2:$M$51,Vehicles!$O$2:$O$51,"&lt;="&amp;B52,Vehicles!$P$2:$P$51,"&gt;"&amp;B52)</f>
        <v>188.82886807663419</v>
      </c>
      <c r="F52" s="62">
        <f>Inputs!$B$8</f>
        <v>100</v>
      </c>
      <c r="G52" s="62">
        <f t="shared" si="2"/>
        <v>100</v>
      </c>
      <c r="H52" s="62">
        <f t="shared" si="3"/>
        <v>288.82886807663419</v>
      </c>
      <c r="I52" s="62">
        <f>Inputs!$B$9</f>
        <v>1600</v>
      </c>
      <c r="J52" s="63">
        <f>COUNTIFS(Vehicles!$O$2:$O$51,"&lt;="&amp;B52,Vehicles!$P$2:$P$51,"&gt;"&amp;B52,Vehicles!$A$2:$A$51,"&lt;&gt;")</f>
        <v>10</v>
      </c>
    </row>
    <row r="53" spans="1:10">
      <c r="A53" s="58">
        <v>52</v>
      </c>
      <c r="B53" s="59">
        <v>12.75</v>
      </c>
      <c r="C53" s="60">
        <f>MOD(Inputs!$B$12+B53/24,1)</f>
        <v>3.125E-2</v>
      </c>
      <c r="D53" s="61">
        <f>SUMIFS(Vehicles!$J$2:$J$51,Vehicles!$O$2:$O$51,"&lt;="&amp;B53,Vehicles!$Q$2:$Q$51,"&gt;"&amp;B53)</f>
        <v>0</v>
      </c>
      <c r="E53" s="62">
        <f>SUMIFS(Vehicles!$M$2:$M$51,Vehicles!$O$2:$O$51,"&lt;="&amp;B53,Vehicles!$P$2:$P$51,"&gt;"&amp;B53)</f>
        <v>188.82886807663419</v>
      </c>
      <c r="F53" s="62">
        <f>Inputs!$B$8</f>
        <v>100</v>
      </c>
      <c r="G53" s="62">
        <f t="shared" si="2"/>
        <v>100</v>
      </c>
      <c r="H53" s="62">
        <f t="shared" si="3"/>
        <v>288.82886807663419</v>
      </c>
      <c r="I53" s="62">
        <f>Inputs!$B$9</f>
        <v>1600</v>
      </c>
      <c r="J53" s="63">
        <f>COUNTIFS(Vehicles!$O$2:$O$51,"&lt;="&amp;B53,Vehicles!$P$2:$P$51,"&gt;"&amp;B53,Vehicles!$A$2:$A$51,"&lt;&gt;")</f>
        <v>10</v>
      </c>
    </row>
    <row r="54" spans="1:10">
      <c r="A54" s="58">
        <v>53</v>
      </c>
      <c r="B54" s="59">
        <v>13</v>
      </c>
      <c r="C54" s="60">
        <f>MOD(Inputs!$B$12+B54/24,1)</f>
        <v>4.1666666666666519E-2</v>
      </c>
      <c r="D54" s="61">
        <f>SUMIFS(Vehicles!$J$2:$J$51,Vehicles!$O$2:$O$51,"&lt;="&amp;B54,Vehicles!$Q$2:$Q$51,"&gt;"&amp;B54)</f>
        <v>0</v>
      </c>
      <c r="E54" s="62">
        <f>SUMIFS(Vehicles!$M$2:$M$51,Vehicles!$O$2:$O$51,"&lt;="&amp;B54,Vehicles!$P$2:$P$51,"&gt;"&amp;B54)</f>
        <v>188.82886807663419</v>
      </c>
      <c r="F54" s="62">
        <f>Inputs!$B$8</f>
        <v>100</v>
      </c>
      <c r="G54" s="62">
        <f t="shared" si="2"/>
        <v>100</v>
      </c>
      <c r="H54" s="62">
        <f t="shared" si="3"/>
        <v>288.82886807663419</v>
      </c>
      <c r="I54" s="62">
        <f>Inputs!$B$9</f>
        <v>1600</v>
      </c>
      <c r="J54" s="63">
        <f>COUNTIFS(Vehicles!$O$2:$O$51,"&lt;="&amp;B54,Vehicles!$P$2:$P$51,"&gt;"&amp;B54,Vehicles!$A$2:$A$51,"&lt;&gt;")</f>
        <v>10</v>
      </c>
    </row>
    <row r="55" spans="1:10">
      <c r="A55" s="58">
        <v>54</v>
      </c>
      <c r="B55" s="59">
        <v>13.25</v>
      </c>
      <c r="C55" s="60">
        <f>MOD(Inputs!$B$12+B55/24,1)</f>
        <v>5.2083333333333481E-2</v>
      </c>
      <c r="D55" s="61">
        <f>SUMIFS(Vehicles!$J$2:$J$51,Vehicles!$O$2:$O$51,"&lt;="&amp;B55,Vehicles!$Q$2:$Q$51,"&gt;"&amp;B55)</f>
        <v>0</v>
      </c>
      <c r="E55" s="62">
        <f>SUMIFS(Vehicles!$M$2:$M$51,Vehicles!$O$2:$O$51,"&lt;="&amp;B55,Vehicles!$P$2:$P$51,"&gt;"&amp;B55)</f>
        <v>188.82886807663419</v>
      </c>
      <c r="F55" s="62">
        <f>Inputs!$B$8</f>
        <v>100</v>
      </c>
      <c r="G55" s="62">
        <f t="shared" si="2"/>
        <v>100</v>
      </c>
      <c r="H55" s="62">
        <f t="shared" si="3"/>
        <v>288.82886807663419</v>
      </c>
      <c r="I55" s="62">
        <f>Inputs!$B$9</f>
        <v>1600</v>
      </c>
      <c r="J55" s="63">
        <f>COUNTIFS(Vehicles!$O$2:$O$51,"&lt;="&amp;B55,Vehicles!$P$2:$P$51,"&gt;"&amp;B55,Vehicles!$A$2:$A$51,"&lt;&gt;")</f>
        <v>10</v>
      </c>
    </row>
    <row r="56" spans="1:10">
      <c r="A56" s="58">
        <v>55</v>
      </c>
      <c r="B56" s="59">
        <v>13.5</v>
      </c>
      <c r="C56" s="60">
        <f>MOD(Inputs!$B$12+B56/24,1)</f>
        <v>6.25E-2</v>
      </c>
      <c r="D56" s="61">
        <f>SUMIFS(Vehicles!$J$2:$J$51,Vehicles!$O$2:$O$51,"&lt;="&amp;B56,Vehicles!$Q$2:$Q$51,"&gt;"&amp;B56)</f>
        <v>0</v>
      </c>
      <c r="E56" s="62">
        <f>SUMIFS(Vehicles!$M$2:$M$51,Vehicles!$O$2:$O$51,"&lt;="&amp;B56,Vehicles!$P$2:$P$51,"&gt;"&amp;B56)</f>
        <v>188.82886807663419</v>
      </c>
      <c r="F56" s="62">
        <f>Inputs!$B$8</f>
        <v>100</v>
      </c>
      <c r="G56" s="62">
        <f t="shared" si="2"/>
        <v>100</v>
      </c>
      <c r="H56" s="62">
        <f t="shared" si="3"/>
        <v>288.82886807663419</v>
      </c>
      <c r="I56" s="62">
        <f>Inputs!$B$9</f>
        <v>1600</v>
      </c>
      <c r="J56" s="63">
        <f>COUNTIFS(Vehicles!$O$2:$O$51,"&lt;="&amp;B56,Vehicles!$P$2:$P$51,"&gt;"&amp;B56,Vehicles!$A$2:$A$51,"&lt;&gt;")</f>
        <v>10</v>
      </c>
    </row>
    <row r="57" spans="1:10">
      <c r="A57" s="58">
        <v>56</v>
      </c>
      <c r="B57" s="59">
        <v>13.75</v>
      </c>
      <c r="C57" s="60">
        <f>MOD(Inputs!$B$12+B57/24,1)</f>
        <v>7.2916666666666519E-2</v>
      </c>
      <c r="D57" s="61">
        <f>SUMIFS(Vehicles!$J$2:$J$51,Vehicles!$O$2:$O$51,"&lt;="&amp;B57,Vehicles!$Q$2:$Q$51,"&gt;"&amp;B57)</f>
        <v>0</v>
      </c>
      <c r="E57" s="62">
        <f>SUMIFS(Vehicles!$M$2:$M$51,Vehicles!$O$2:$O$51,"&lt;="&amp;B57,Vehicles!$P$2:$P$51,"&gt;"&amp;B57)</f>
        <v>188.82886807663419</v>
      </c>
      <c r="F57" s="62">
        <f>Inputs!$B$8</f>
        <v>100</v>
      </c>
      <c r="G57" s="62">
        <f t="shared" si="2"/>
        <v>100</v>
      </c>
      <c r="H57" s="62">
        <f t="shared" si="3"/>
        <v>288.82886807663419</v>
      </c>
      <c r="I57" s="62">
        <f>Inputs!$B$9</f>
        <v>1600</v>
      </c>
      <c r="J57" s="63">
        <f>COUNTIFS(Vehicles!$O$2:$O$51,"&lt;="&amp;B57,Vehicles!$P$2:$P$51,"&gt;"&amp;B57,Vehicles!$A$2:$A$51,"&lt;&gt;")</f>
        <v>10</v>
      </c>
    </row>
    <row r="58" spans="1:10">
      <c r="A58" s="58">
        <v>57</v>
      </c>
      <c r="B58" s="59">
        <v>14</v>
      </c>
      <c r="C58" s="60">
        <f>MOD(Inputs!$B$12+B58/24,1)</f>
        <v>8.3333333333333481E-2</v>
      </c>
      <c r="D58" s="61">
        <f>SUMIFS(Vehicles!$J$2:$J$51,Vehicles!$O$2:$O$51,"&lt;="&amp;B58,Vehicles!$Q$2:$Q$51,"&gt;"&amp;B58)</f>
        <v>0</v>
      </c>
      <c r="E58" s="62">
        <f>SUMIFS(Vehicles!$M$2:$M$51,Vehicles!$O$2:$O$51,"&lt;="&amp;B58,Vehicles!$P$2:$P$51,"&gt;"&amp;B58)</f>
        <v>188.82886807663419</v>
      </c>
      <c r="F58" s="62">
        <f>Inputs!$B$8</f>
        <v>100</v>
      </c>
      <c r="G58" s="62">
        <f t="shared" si="2"/>
        <v>100</v>
      </c>
      <c r="H58" s="62">
        <f t="shared" si="3"/>
        <v>288.82886807663419</v>
      </c>
      <c r="I58" s="62">
        <f>Inputs!$B$9</f>
        <v>1600</v>
      </c>
      <c r="J58" s="63">
        <f>COUNTIFS(Vehicles!$O$2:$O$51,"&lt;="&amp;B58,Vehicles!$P$2:$P$51,"&gt;"&amp;B58,Vehicles!$A$2:$A$51,"&lt;&gt;")</f>
        <v>10</v>
      </c>
    </row>
    <row r="59" spans="1:10">
      <c r="A59" s="58">
        <v>58</v>
      </c>
      <c r="B59" s="59">
        <v>14.25</v>
      </c>
      <c r="C59" s="60">
        <f>MOD(Inputs!$B$12+B59/24,1)</f>
        <v>9.375E-2</v>
      </c>
      <c r="D59" s="61">
        <f>SUMIFS(Vehicles!$J$2:$J$51,Vehicles!$O$2:$O$51,"&lt;="&amp;B59,Vehicles!$Q$2:$Q$51,"&gt;"&amp;B59)</f>
        <v>0</v>
      </c>
      <c r="E59" s="62">
        <f>SUMIFS(Vehicles!$M$2:$M$51,Vehicles!$O$2:$O$51,"&lt;="&amp;B59,Vehicles!$P$2:$P$51,"&gt;"&amp;B59)</f>
        <v>188.82886807663419</v>
      </c>
      <c r="F59" s="62">
        <f>Inputs!$B$8</f>
        <v>100</v>
      </c>
      <c r="G59" s="62">
        <f t="shared" si="2"/>
        <v>100</v>
      </c>
      <c r="H59" s="62">
        <f t="shared" si="3"/>
        <v>288.82886807663419</v>
      </c>
      <c r="I59" s="62">
        <f>Inputs!$B$9</f>
        <v>1600</v>
      </c>
      <c r="J59" s="63">
        <f>COUNTIFS(Vehicles!$O$2:$O$51,"&lt;="&amp;B59,Vehicles!$P$2:$P$51,"&gt;"&amp;B59,Vehicles!$A$2:$A$51,"&lt;&gt;")</f>
        <v>10</v>
      </c>
    </row>
    <row r="60" spans="1:10">
      <c r="A60" s="58">
        <v>59</v>
      </c>
      <c r="B60" s="59">
        <v>14.5</v>
      </c>
      <c r="C60" s="60">
        <f>MOD(Inputs!$B$12+B60/24,1)</f>
        <v>0.10416666666666652</v>
      </c>
      <c r="D60" s="61">
        <f>SUMIFS(Vehicles!$J$2:$J$51,Vehicles!$O$2:$O$51,"&lt;="&amp;B60,Vehicles!$Q$2:$Q$51,"&gt;"&amp;B60)</f>
        <v>0</v>
      </c>
      <c r="E60" s="62">
        <f>SUMIFS(Vehicles!$M$2:$M$51,Vehicles!$O$2:$O$51,"&lt;="&amp;B60,Vehicles!$P$2:$P$51,"&gt;"&amp;B60)</f>
        <v>188.82886807663419</v>
      </c>
      <c r="F60" s="62">
        <f>Inputs!$B$8</f>
        <v>100</v>
      </c>
      <c r="G60" s="62">
        <f t="shared" si="2"/>
        <v>100</v>
      </c>
      <c r="H60" s="62">
        <f t="shared" si="3"/>
        <v>288.82886807663419</v>
      </c>
      <c r="I60" s="62">
        <f>Inputs!$B$9</f>
        <v>1600</v>
      </c>
      <c r="J60" s="63">
        <f>COUNTIFS(Vehicles!$O$2:$O$51,"&lt;="&amp;B60,Vehicles!$P$2:$P$51,"&gt;"&amp;B60,Vehicles!$A$2:$A$51,"&lt;&gt;")</f>
        <v>10</v>
      </c>
    </row>
    <row r="61" spans="1:10">
      <c r="A61" s="58">
        <v>60</v>
      </c>
      <c r="B61" s="59">
        <v>14.75</v>
      </c>
      <c r="C61" s="60">
        <f>MOD(Inputs!$B$12+B61/24,1)</f>
        <v>0.11458333333333348</v>
      </c>
      <c r="D61" s="61">
        <f>SUMIFS(Vehicles!$J$2:$J$51,Vehicles!$O$2:$O$51,"&lt;="&amp;B61,Vehicles!$Q$2:$Q$51,"&gt;"&amp;B61)</f>
        <v>0</v>
      </c>
      <c r="E61" s="62">
        <f>SUMIFS(Vehicles!$M$2:$M$51,Vehicles!$O$2:$O$51,"&lt;="&amp;B61,Vehicles!$P$2:$P$51,"&gt;"&amp;B61)</f>
        <v>188.82886807663419</v>
      </c>
      <c r="F61" s="62">
        <f>Inputs!$B$8</f>
        <v>100</v>
      </c>
      <c r="G61" s="62">
        <f t="shared" si="2"/>
        <v>100</v>
      </c>
      <c r="H61" s="62">
        <f t="shared" si="3"/>
        <v>288.82886807663419</v>
      </c>
      <c r="I61" s="62">
        <f>Inputs!$B$9</f>
        <v>1600</v>
      </c>
      <c r="J61" s="63">
        <f>COUNTIFS(Vehicles!$O$2:$O$51,"&lt;="&amp;B61,Vehicles!$P$2:$P$51,"&gt;"&amp;B61,Vehicles!$A$2:$A$51,"&lt;&gt;")</f>
        <v>10</v>
      </c>
    </row>
    <row r="62" spans="1:10">
      <c r="A62" s="58">
        <v>61</v>
      </c>
      <c r="B62" s="59">
        <v>15</v>
      </c>
      <c r="C62" s="60">
        <f>MOD(Inputs!$B$12+B62/24,1)</f>
        <v>0.125</v>
      </c>
      <c r="D62" s="61">
        <f>SUMIFS(Vehicles!$J$2:$J$51,Vehicles!$O$2:$O$51,"&lt;="&amp;B62,Vehicles!$Q$2:$Q$51,"&gt;"&amp;B62)</f>
        <v>0</v>
      </c>
      <c r="E62" s="62">
        <f>SUMIFS(Vehicles!$M$2:$M$51,Vehicles!$O$2:$O$51,"&lt;="&amp;B62,Vehicles!$P$2:$P$51,"&gt;"&amp;B62)</f>
        <v>188.82886807663419</v>
      </c>
      <c r="F62" s="62">
        <f>Inputs!$B$8</f>
        <v>100</v>
      </c>
      <c r="G62" s="62">
        <f t="shared" si="2"/>
        <v>100</v>
      </c>
      <c r="H62" s="62">
        <f t="shared" si="3"/>
        <v>288.82886807663419</v>
      </c>
      <c r="I62" s="62">
        <f>Inputs!$B$9</f>
        <v>1600</v>
      </c>
      <c r="J62" s="63">
        <f>COUNTIFS(Vehicles!$O$2:$O$51,"&lt;="&amp;B62,Vehicles!$P$2:$P$51,"&gt;"&amp;B62,Vehicles!$A$2:$A$51,"&lt;&gt;")</f>
        <v>10</v>
      </c>
    </row>
    <row r="63" spans="1:10">
      <c r="A63" s="58">
        <v>62</v>
      </c>
      <c r="B63" s="59">
        <v>15.25</v>
      </c>
      <c r="C63" s="60">
        <f>MOD(Inputs!$B$12+B63/24,1)</f>
        <v>0.13541666666666652</v>
      </c>
      <c r="D63" s="61">
        <f>SUMIFS(Vehicles!$J$2:$J$51,Vehicles!$O$2:$O$51,"&lt;="&amp;B63,Vehicles!$Q$2:$Q$51,"&gt;"&amp;B63)</f>
        <v>0</v>
      </c>
      <c r="E63" s="62">
        <f>SUMIFS(Vehicles!$M$2:$M$51,Vehicles!$O$2:$O$51,"&lt;="&amp;B63,Vehicles!$P$2:$P$51,"&gt;"&amp;B63)</f>
        <v>188.82886807663419</v>
      </c>
      <c r="F63" s="62">
        <f>Inputs!$B$8</f>
        <v>100</v>
      </c>
      <c r="G63" s="62">
        <f t="shared" si="2"/>
        <v>100</v>
      </c>
      <c r="H63" s="62">
        <f t="shared" si="3"/>
        <v>288.82886807663419</v>
      </c>
      <c r="I63" s="62">
        <f>Inputs!$B$9</f>
        <v>1600</v>
      </c>
      <c r="J63" s="63">
        <f>COUNTIFS(Vehicles!$O$2:$O$51,"&lt;="&amp;B63,Vehicles!$P$2:$P$51,"&gt;"&amp;B63,Vehicles!$A$2:$A$51,"&lt;&gt;")</f>
        <v>10</v>
      </c>
    </row>
    <row r="64" spans="1:10">
      <c r="A64" s="58">
        <v>63</v>
      </c>
      <c r="B64" s="59">
        <v>15.5</v>
      </c>
      <c r="C64" s="60">
        <f>MOD(Inputs!$B$12+B64/24,1)</f>
        <v>0.14583333333333348</v>
      </c>
      <c r="D64" s="61">
        <f>SUMIFS(Vehicles!$J$2:$J$51,Vehicles!$O$2:$O$51,"&lt;="&amp;B64,Vehicles!$Q$2:$Q$51,"&gt;"&amp;B64)</f>
        <v>0</v>
      </c>
      <c r="E64" s="62">
        <f>SUMIFS(Vehicles!$M$2:$M$51,Vehicles!$O$2:$O$51,"&lt;="&amp;B64,Vehicles!$P$2:$P$51,"&gt;"&amp;B64)</f>
        <v>188.82886807663419</v>
      </c>
      <c r="F64" s="62">
        <f>Inputs!$B$8</f>
        <v>100</v>
      </c>
      <c r="G64" s="62">
        <f t="shared" si="2"/>
        <v>100</v>
      </c>
      <c r="H64" s="62">
        <f t="shared" si="3"/>
        <v>288.82886807663419</v>
      </c>
      <c r="I64" s="62">
        <f>Inputs!$B$9</f>
        <v>1600</v>
      </c>
      <c r="J64" s="63">
        <f>COUNTIFS(Vehicles!$O$2:$O$51,"&lt;="&amp;B64,Vehicles!$P$2:$P$51,"&gt;"&amp;B64,Vehicles!$A$2:$A$51,"&lt;&gt;")</f>
        <v>10</v>
      </c>
    </row>
    <row r="65" spans="1:10">
      <c r="A65" s="58">
        <v>64</v>
      </c>
      <c r="B65" s="59">
        <v>15.75</v>
      </c>
      <c r="C65" s="60">
        <f>MOD(Inputs!$B$12+B65/24,1)</f>
        <v>0.15625</v>
      </c>
      <c r="D65" s="61">
        <f>SUMIFS(Vehicles!$J$2:$J$51,Vehicles!$O$2:$O$51,"&lt;="&amp;B65,Vehicles!$Q$2:$Q$51,"&gt;"&amp;B65)</f>
        <v>0</v>
      </c>
      <c r="E65" s="62">
        <f>SUMIFS(Vehicles!$M$2:$M$51,Vehicles!$O$2:$O$51,"&lt;="&amp;B65,Vehicles!$P$2:$P$51,"&gt;"&amp;B65)</f>
        <v>188.82886807663419</v>
      </c>
      <c r="F65" s="62">
        <f>Inputs!$B$8</f>
        <v>100</v>
      </c>
      <c r="G65" s="62">
        <f t="shared" si="2"/>
        <v>100</v>
      </c>
      <c r="H65" s="62">
        <f t="shared" si="3"/>
        <v>288.82886807663419</v>
      </c>
      <c r="I65" s="62">
        <f>Inputs!$B$9</f>
        <v>1600</v>
      </c>
      <c r="J65" s="63">
        <f>COUNTIFS(Vehicles!$O$2:$O$51,"&lt;="&amp;B65,Vehicles!$P$2:$P$51,"&gt;"&amp;B65,Vehicles!$A$2:$A$51,"&lt;&gt;")</f>
        <v>10</v>
      </c>
    </row>
    <row r="66" spans="1:10">
      <c r="A66" s="58">
        <v>65</v>
      </c>
      <c r="B66" s="59">
        <v>16</v>
      </c>
      <c r="C66" s="60">
        <f>MOD(Inputs!$B$12+B66/24,1)</f>
        <v>0.16666666666666652</v>
      </c>
      <c r="D66" s="61">
        <f>SUMIFS(Vehicles!$J$2:$J$51,Vehicles!$O$2:$O$51,"&lt;="&amp;B66,Vehicles!$Q$2:$Q$51,"&gt;"&amp;B66)</f>
        <v>0</v>
      </c>
      <c r="E66" s="62">
        <f>SUMIFS(Vehicles!$M$2:$M$51,Vehicles!$O$2:$O$51,"&lt;="&amp;B66,Vehicles!$P$2:$P$51,"&gt;"&amp;B66)</f>
        <v>188.82886807663419</v>
      </c>
      <c r="F66" s="62">
        <f>Inputs!$B$8</f>
        <v>100</v>
      </c>
      <c r="G66" s="62">
        <f t="shared" ref="G66:G97" si="4">D66+F66</f>
        <v>100</v>
      </c>
      <c r="H66" s="62">
        <f t="shared" ref="H66:H97" si="5">E66+F66</f>
        <v>288.82886807663419</v>
      </c>
      <c r="I66" s="62">
        <f>Inputs!$B$9</f>
        <v>1600</v>
      </c>
      <c r="J66" s="63">
        <f>COUNTIFS(Vehicles!$O$2:$O$51,"&lt;="&amp;B66,Vehicles!$P$2:$P$51,"&gt;"&amp;B66,Vehicles!$A$2:$A$51,"&lt;&gt;")</f>
        <v>10</v>
      </c>
    </row>
    <row r="67" spans="1:10">
      <c r="A67" s="58">
        <v>66</v>
      </c>
      <c r="B67" s="59">
        <v>16.25</v>
      </c>
      <c r="C67" s="60">
        <f>MOD(Inputs!$B$12+B67/24,1)</f>
        <v>0.17708333333333348</v>
      </c>
      <c r="D67" s="61">
        <f>SUMIFS(Vehicles!$J$2:$J$51,Vehicles!$O$2:$O$51,"&lt;="&amp;B67,Vehicles!$Q$2:$Q$51,"&gt;"&amp;B67)</f>
        <v>0</v>
      </c>
      <c r="E67" s="62">
        <f>SUMIFS(Vehicles!$M$2:$M$51,Vehicles!$O$2:$O$51,"&lt;="&amp;B67,Vehicles!$P$2:$P$51,"&gt;"&amp;B67)</f>
        <v>188.82886807663419</v>
      </c>
      <c r="F67" s="62">
        <f>Inputs!$B$8</f>
        <v>100</v>
      </c>
      <c r="G67" s="62">
        <f t="shared" si="4"/>
        <v>100</v>
      </c>
      <c r="H67" s="62">
        <f t="shared" si="5"/>
        <v>288.82886807663419</v>
      </c>
      <c r="I67" s="62">
        <f>Inputs!$B$9</f>
        <v>1600</v>
      </c>
      <c r="J67" s="63">
        <f>COUNTIFS(Vehicles!$O$2:$O$51,"&lt;="&amp;B67,Vehicles!$P$2:$P$51,"&gt;"&amp;B67,Vehicles!$A$2:$A$51,"&lt;&gt;")</f>
        <v>10</v>
      </c>
    </row>
    <row r="68" spans="1:10">
      <c r="A68" s="58">
        <v>67</v>
      </c>
      <c r="B68" s="59">
        <v>16.5</v>
      </c>
      <c r="C68" s="60">
        <f>MOD(Inputs!$B$12+B68/24,1)</f>
        <v>0.1875</v>
      </c>
      <c r="D68" s="61">
        <f>SUMIFS(Vehicles!$J$2:$J$51,Vehicles!$O$2:$O$51,"&lt;="&amp;B68,Vehicles!$Q$2:$Q$51,"&gt;"&amp;B68)</f>
        <v>0</v>
      </c>
      <c r="E68" s="62">
        <f>SUMIFS(Vehicles!$M$2:$M$51,Vehicles!$O$2:$O$51,"&lt;="&amp;B68,Vehicles!$P$2:$P$51,"&gt;"&amp;B68)</f>
        <v>188.82886807663419</v>
      </c>
      <c r="F68" s="62">
        <f>Inputs!$B$8</f>
        <v>100</v>
      </c>
      <c r="G68" s="62">
        <f t="shared" si="4"/>
        <v>100</v>
      </c>
      <c r="H68" s="62">
        <f t="shared" si="5"/>
        <v>288.82886807663419</v>
      </c>
      <c r="I68" s="62">
        <f>Inputs!$B$9</f>
        <v>1600</v>
      </c>
      <c r="J68" s="63">
        <f>COUNTIFS(Vehicles!$O$2:$O$51,"&lt;="&amp;B68,Vehicles!$P$2:$P$51,"&gt;"&amp;B68,Vehicles!$A$2:$A$51,"&lt;&gt;")</f>
        <v>10</v>
      </c>
    </row>
    <row r="69" spans="1:10">
      <c r="A69" s="58">
        <v>68</v>
      </c>
      <c r="B69" s="59">
        <v>16.75</v>
      </c>
      <c r="C69" s="60">
        <f>MOD(Inputs!$B$12+B69/24,1)</f>
        <v>0.19791666666666652</v>
      </c>
      <c r="D69" s="61">
        <f>SUMIFS(Vehicles!$J$2:$J$51,Vehicles!$O$2:$O$51,"&lt;="&amp;B69,Vehicles!$Q$2:$Q$51,"&gt;"&amp;B69)</f>
        <v>0</v>
      </c>
      <c r="E69" s="62">
        <f>SUMIFS(Vehicles!$M$2:$M$51,Vehicles!$O$2:$O$51,"&lt;="&amp;B69,Vehicles!$P$2:$P$51,"&gt;"&amp;B69)</f>
        <v>188.82886807663419</v>
      </c>
      <c r="F69" s="62">
        <f>Inputs!$B$8</f>
        <v>100</v>
      </c>
      <c r="G69" s="62">
        <f t="shared" si="4"/>
        <v>100</v>
      </c>
      <c r="H69" s="62">
        <f t="shared" si="5"/>
        <v>288.82886807663419</v>
      </c>
      <c r="I69" s="62">
        <f>Inputs!$B$9</f>
        <v>1600</v>
      </c>
      <c r="J69" s="63">
        <f>COUNTIFS(Vehicles!$O$2:$O$51,"&lt;="&amp;B69,Vehicles!$P$2:$P$51,"&gt;"&amp;B69,Vehicles!$A$2:$A$51,"&lt;&gt;")</f>
        <v>10</v>
      </c>
    </row>
    <row r="70" spans="1:10">
      <c r="A70" s="58">
        <v>69</v>
      </c>
      <c r="B70" s="59">
        <v>17</v>
      </c>
      <c r="C70" s="60">
        <f>MOD(Inputs!$B$12+B70/24,1)</f>
        <v>0.20833333333333348</v>
      </c>
      <c r="D70" s="61">
        <f>SUMIFS(Vehicles!$J$2:$J$51,Vehicles!$O$2:$O$51,"&lt;="&amp;B70,Vehicles!$Q$2:$Q$51,"&gt;"&amp;B70)</f>
        <v>0</v>
      </c>
      <c r="E70" s="62">
        <f>SUMIFS(Vehicles!$M$2:$M$51,Vehicles!$O$2:$O$51,"&lt;="&amp;B70,Vehicles!$P$2:$P$51,"&gt;"&amp;B70)</f>
        <v>171.97780424562148</v>
      </c>
      <c r="F70" s="62">
        <f>Inputs!$B$8</f>
        <v>100</v>
      </c>
      <c r="G70" s="62">
        <f t="shared" si="4"/>
        <v>100</v>
      </c>
      <c r="H70" s="62">
        <f t="shared" si="5"/>
        <v>271.97780424562148</v>
      </c>
      <c r="I70" s="62">
        <f>Inputs!$B$9</f>
        <v>1600</v>
      </c>
      <c r="J70" s="63">
        <f>COUNTIFS(Vehicles!$O$2:$O$51,"&lt;="&amp;B70,Vehicles!$P$2:$P$51,"&gt;"&amp;B70,Vehicles!$A$2:$A$51,"&lt;&gt;")</f>
        <v>9</v>
      </c>
    </row>
    <row r="71" spans="1:10">
      <c r="A71" s="58">
        <v>70</v>
      </c>
      <c r="B71" s="59">
        <v>17.25</v>
      </c>
      <c r="C71" s="60">
        <f>MOD(Inputs!$B$12+B71/24,1)</f>
        <v>0.21875</v>
      </c>
      <c r="D71" s="61">
        <f>SUMIFS(Vehicles!$J$2:$J$51,Vehicles!$O$2:$O$51,"&lt;="&amp;B71,Vehicles!$Q$2:$Q$51,"&gt;"&amp;B71)</f>
        <v>0</v>
      </c>
      <c r="E71" s="62">
        <f>SUMIFS(Vehicles!$M$2:$M$51,Vehicles!$O$2:$O$51,"&lt;="&amp;B71,Vehicles!$P$2:$P$51,"&gt;"&amp;B71)</f>
        <v>156.35682453377058</v>
      </c>
      <c r="F71" s="62">
        <f>Inputs!$B$8</f>
        <v>100</v>
      </c>
      <c r="G71" s="62">
        <f t="shared" si="4"/>
        <v>100</v>
      </c>
      <c r="H71" s="62">
        <f t="shared" si="5"/>
        <v>256.35682453377058</v>
      </c>
      <c r="I71" s="62">
        <f>Inputs!$B$9</f>
        <v>1600</v>
      </c>
      <c r="J71" s="63">
        <f>COUNTIFS(Vehicles!$O$2:$O$51,"&lt;="&amp;B71,Vehicles!$P$2:$P$51,"&gt;"&amp;B71,Vehicles!$A$2:$A$51,"&lt;&gt;")</f>
        <v>8</v>
      </c>
    </row>
    <row r="72" spans="1:10">
      <c r="A72" s="58">
        <v>71</v>
      </c>
      <c r="B72" s="59">
        <v>17.5</v>
      </c>
      <c r="C72" s="60">
        <f>MOD(Inputs!$B$12+B72/24,1)</f>
        <v>0.22916666666666652</v>
      </c>
      <c r="D72" s="61">
        <f>SUMIFS(Vehicles!$J$2:$J$51,Vehicles!$O$2:$O$51,"&lt;="&amp;B72,Vehicles!$Q$2:$Q$51,"&gt;"&amp;B72)</f>
        <v>0</v>
      </c>
      <c r="E72" s="62">
        <f>SUMIFS(Vehicles!$M$2:$M$51,Vehicles!$O$2:$O$51,"&lt;="&amp;B72,Vehicles!$P$2:$P$51,"&gt;"&amp;B72)</f>
        <v>156.35682453377058</v>
      </c>
      <c r="F72" s="62">
        <f>Inputs!$B$8</f>
        <v>100</v>
      </c>
      <c r="G72" s="62">
        <f t="shared" si="4"/>
        <v>100</v>
      </c>
      <c r="H72" s="62">
        <f t="shared" si="5"/>
        <v>256.35682453377058</v>
      </c>
      <c r="I72" s="62">
        <f>Inputs!$B$9</f>
        <v>1600</v>
      </c>
      <c r="J72" s="63">
        <f>COUNTIFS(Vehicles!$O$2:$O$51,"&lt;="&amp;B72,Vehicles!$P$2:$P$51,"&gt;"&amp;B72,Vehicles!$A$2:$A$51,"&lt;&gt;")</f>
        <v>8</v>
      </c>
    </row>
    <row r="73" spans="1:10">
      <c r="A73" s="58">
        <v>72</v>
      </c>
      <c r="B73" s="59">
        <v>17.75</v>
      </c>
      <c r="C73" s="60">
        <f>MOD(Inputs!$B$12+B73/24,1)</f>
        <v>0.23958333333333348</v>
      </c>
      <c r="D73" s="61">
        <f>SUMIFS(Vehicles!$J$2:$J$51,Vehicles!$O$2:$O$51,"&lt;="&amp;B73,Vehicles!$Q$2:$Q$51,"&gt;"&amp;B73)</f>
        <v>0</v>
      </c>
      <c r="E73" s="62">
        <f>SUMIFS(Vehicles!$M$2:$M$51,Vehicles!$O$2:$O$51,"&lt;="&amp;B73,Vehicles!$P$2:$P$51,"&gt;"&amp;B73)</f>
        <v>122.20129039372161</v>
      </c>
      <c r="F73" s="62">
        <f>Inputs!$B$8</f>
        <v>100</v>
      </c>
      <c r="G73" s="62">
        <f t="shared" si="4"/>
        <v>100</v>
      </c>
      <c r="H73" s="62">
        <f t="shared" si="5"/>
        <v>222.20129039372159</v>
      </c>
      <c r="I73" s="62">
        <f>Inputs!$B$9</f>
        <v>1600</v>
      </c>
      <c r="J73" s="63">
        <f>COUNTIFS(Vehicles!$O$2:$O$51,"&lt;="&amp;B73,Vehicles!$P$2:$P$51,"&gt;"&amp;B73,Vehicles!$A$2:$A$51,"&lt;&gt;")</f>
        <v>6</v>
      </c>
    </row>
    <row r="74" spans="1:10">
      <c r="A74" s="58">
        <v>73</v>
      </c>
      <c r="B74" s="59">
        <v>18</v>
      </c>
      <c r="C74" s="60">
        <f>MOD(Inputs!$B$12+B74/24,1)</f>
        <v>0.25</v>
      </c>
      <c r="D74" s="61">
        <f>SUMIFS(Vehicles!$J$2:$J$51,Vehicles!$O$2:$O$51,"&lt;="&amp;B74,Vehicles!$Q$2:$Q$51,"&gt;"&amp;B74)</f>
        <v>0</v>
      </c>
      <c r="E74" s="62">
        <f>SUMIFS(Vehicles!$M$2:$M$51,Vehicles!$O$2:$O$51,"&lt;="&amp;B74,Vehicles!$P$2:$P$51,"&gt;"&amp;B74)</f>
        <v>99.077886140252332</v>
      </c>
      <c r="F74" s="62">
        <f>Inputs!$B$8</f>
        <v>100</v>
      </c>
      <c r="G74" s="62">
        <f t="shared" si="4"/>
        <v>100</v>
      </c>
      <c r="H74" s="62">
        <f t="shared" si="5"/>
        <v>199.07788614025233</v>
      </c>
      <c r="I74" s="62">
        <f>Inputs!$B$9</f>
        <v>1600</v>
      </c>
      <c r="J74" s="63">
        <f>COUNTIFS(Vehicles!$O$2:$O$51,"&lt;="&amp;B74,Vehicles!$P$2:$P$51,"&gt;"&amp;B74,Vehicles!$A$2:$A$51,"&lt;&gt;")</f>
        <v>5</v>
      </c>
    </row>
    <row r="75" spans="1:10">
      <c r="A75" s="58">
        <v>74</v>
      </c>
      <c r="B75" s="59">
        <v>18.25</v>
      </c>
      <c r="C75" s="60">
        <f>MOD(Inputs!$B$12+B75/24,1)</f>
        <v>0.26041666666666652</v>
      </c>
      <c r="D75" s="61">
        <f>SUMIFS(Vehicles!$J$2:$J$51,Vehicles!$O$2:$O$51,"&lt;="&amp;B75,Vehicles!$Q$2:$Q$51,"&gt;"&amp;B75)</f>
        <v>0</v>
      </c>
      <c r="E75" s="62">
        <f>SUMIFS(Vehicles!$M$2:$M$51,Vehicles!$O$2:$O$51,"&lt;="&amp;B75,Vehicles!$P$2:$P$51,"&gt;"&amp;B75)</f>
        <v>99.077886140252332</v>
      </c>
      <c r="F75" s="62">
        <f>Inputs!$B$8</f>
        <v>100</v>
      </c>
      <c r="G75" s="62">
        <f t="shared" si="4"/>
        <v>100</v>
      </c>
      <c r="H75" s="62">
        <f t="shared" si="5"/>
        <v>199.07788614025233</v>
      </c>
      <c r="I75" s="62">
        <f>Inputs!$B$9</f>
        <v>1600</v>
      </c>
      <c r="J75" s="63">
        <f>COUNTIFS(Vehicles!$O$2:$O$51,"&lt;="&amp;B75,Vehicles!$P$2:$P$51,"&gt;"&amp;B75,Vehicles!$A$2:$A$51,"&lt;&gt;")</f>
        <v>5</v>
      </c>
    </row>
    <row r="76" spans="1:10">
      <c r="A76" s="58">
        <v>75</v>
      </c>
      <c r="B76" s="59">
        <v>18.5</v>
      </c>
      <c r="C76" s="60">
        <f>MOD(Inputs!$B$12+B76/24,1)</f>
        <v>0.27083333333333348</v>
      </c>
      <c r="D76" s="61">
        <f>SUMIFS(Vehicles!$J$2:$J$51,Vehicles!$O$2:$O$51,"&lt;="&amp;B76,Vehicles!$Q$2:$Q$51,"&gt;"&amp;B76)</f>
        <v>0</v>
      </c>
      <c r="E76" s="62">
        <f>SUMIFS(Vehicles!$M$2:$M$51,Vehicles!$O$2:$O$51,"&lt;="&amp;B76,Vehicles!$P$2:$P$51,"&gt;"&amp;B76)</f>
        <v>59.624976039986024</v>
      </c>
      <c r="F76" s="62">
        <f>Inputs!$B$8</f>
        <v>100</v>
      </c>
      <c r="G76" s="62">
        <f t="shared" si="4"/>
        <v>100</v>
      </c>
      <c r="H76" s="62">
        <f t="shared" si="5"/>
        <v>159.62497603998602</v>
      </c>
      <c r="I76" s="62">
        <f>Inputs!$B$9</f>
        <v>1600</v>
      </c>
      <c r="J76" s="63">
        <f>COUNTIFS(Vehicles!$O$2:$O$51,"&lt;="&amp;B76,Vehicles!$P$2:$P$51,"&gt;"&amp;B76,Vehicles!$A$2:$A$51,"&lt;&gt;")</f>
        <v>3</v>
      </c>
    </row>
    <row r="77" spans="1:10">
      <c r="A77" s="58">
        <v>76</v>
      </c>
      <c r="B77" s="59">
        <v>18.75</v>
      </c>
      <c r="C77" s="60">
        <f>MOD(Inputs!$B$12+B77/24,1)</f>
        <v>0.28125</v>
      </c>
      <c r="D77" s="61">
        <f>SUMIFS(Vehicles!$J$2:$J$51,Vehicles!$O$2:$O$51,"&lt;="&amp;B77,Vehicles!$Q$2:$Q$51,"&gt;"&amp;B77)</f>
        <v>0</v>
      </c>
      <c r="E77" s="62">
        <f>SUMIFS(Vehicles!$M$2:$M$51,Vehicles!$O$2:$O$51,"&lt;="&amp;B77,Vehicles!$P$2:$P$51,"&gt;"&amp;B77)</f>
        <v>42.166666668292933</v>
      </c>
      <c r="F77" s="62">
        <f>Inputs!$B$8</f>
        <v>100</v>
      </c>
      <c r="G77" s="62">
        <f t="shared" si="4"/>
        <v>100</v>
      </c>
      <c r="H77" s="62">
        <f t="shared" si="5"/>
        <v>142.16666666829292</v>
      </c>
      <c r="I77" s="62">
        <f>Inputs!$B$9</f>
        <v>1600</v>
      </c>
      <c r="J77" s="63">
        <f>COUNTIFS(Vehicles!$O$2:$O$51,"&lt;="&amp;B77,Vehicles!$P$2:$P$51,"&gt;"&amp;B77,Vehicles!$A$2:$A$51,"&lt;&gt;")</f>
        <v>2</v>
      </c>
    </row>
    <row r="78" spans="1:10">
      <c r="A78" s="58">
        <v>77</v>
      </c>
      <c r="B78" s="59">
        <v>19</v>
      </c>
      <c r="C78" s="60">
        <f>MOD(Inputs!$B$12+B78/24,1)</f>
        <v>0.29166666666666652</v>
      </c>
      <c r="D78" s="61">
        <f>SUMIFS(Vehicles!$J$2:$J$51,Vehicles!$O$2:$O$51,"&lt;="&amp;B78,Vehicles!$Q$2:$Q$51,"&gt;"&amp;B78)</f>
        <v>0</v>
      </c>
      <c r="E78" s="62">
        <f>SUMIFS(Vehicles!$M$2:$M$51,Vehicles!$O$2:$O$51,"&lt;="&amp;B78,Vehicles!$P$2:$P$51,"&gt;"&amp;B78)</f>
        <v>42.166666668292933</v>
      </c>
      <c r="F78" s="62">
        <f>Inputs!$B$8</f>
        <v>100</v>
      </c>
      <c r="G78" s="62">
        <f t="shared" si="4"/>
        <v>100</v>
      </c>
      <c r="H78" s="62">
        <f t="shared" si="5"/>
        <v>142.16666666829292</v>
      </c>
      <c r="I78" s="62">
        <f>Inputs!$B$9</f>
        <v>1600</v>
      </c>
      <c r="J78" s="63">
        <f>COUNTIFS(Vehicles!$O$2:$O$51,"&lt;="&amp;B78,Vehicles!$P$2:$P$51,"&gt;"&amp;B78,Vehicles!$A$2:$A$51,"&lt;&gt;")</f>
        <v>2</v>
      </c>
    </row>
    <row r="79" spans="1:10">
      <c r="A79" s="58">
        <v>78</v>
      </c>
      <c r="B79" s="59">
        <v>19.25</v>
      </c>
      <c r="C79" s="60">
        <f>MOD(Inputs!$B$12+B79/24,1)</f>
        <v>0.30208333333333348</v>
      </c>
      <c r="D79" s="61">
        <f>SUMIFS(Vehicles!$J$2:$J$51,Vehicles!$O$2:$O$51,"&lt;="&amp;B79,Vehicles!$Q$2:$Q$51,"&gt;"&amp;B79)</f>
        <v>0</v>
      </c>
      <c r="E79" s="62">
        <f>SUMIFS(Vehicles!$M$2:$M$51,Vehicles!$O$2:$O$51,"&lt;="&amp;B79,Vehicles!$P$2:$P$51,"&gt;"&amp;B79)</f>
        <v>0</v>
      </c>
      <c r="F79" s="62">
        <f>Inputs!$B$8</f>
        <v>100</v>
      </c>
      <c r="G79" s="62">
        <f t="shared" si="4"/>
        <v>100</v>
      </c>
      <c r="H79" s="62">
        <f t="shared" si="5"/>
        <v>100</v>
      </c>
      <c r="I79" s="62">
        <f>Inputs!$B$9</f>
        <v>1600</v>
      </c>
      <c r="J79" s="63">
        <f>COUNTIFS(Vehicles!$O$2:$O$51,"&lt;="&amp;B79,Vehicles!$P$2:$P$51,"&gt;"&amp;B79,Vehicles!$A$2:$A$51,"&lt;&gt;")</f>
        <v>0</v>
      </c>
    </row>
    <row r="80" spans="1:10">
      <c r="A80" s="58">
        <v>79</v>
      </c>
      <c r="B80" s="59">
        <v>19.5</v>
      </c>
      <c r="C80" s="60">
        <f>MOD(Inputs!$B$12+B80/24,1)</f>
        <v>0.3125</v>
      </c>
      <c r="D80" s="61">
        <f>SUMIFS(Vehicles!$J$2:$J$51,Vehicles!$O$2:$O$51,"&lt;="&amp;B80,Vehicles!$Q$2:$Q$51,"&gt;"&amp;B80)</f>
        <v>0</v>
      </c>
      <c r="E80" s="62">
        <f>SUMIFS(Vehicles!$M$2:$M$51,Vehicles!$O$2:$O$51,"&lt;="&amp;B80,Vehicles!$P$2:$P$51,"&gt;"&amp;B80)</f>
        <v>0</v>
      </c>
      <c r="F80" s="62">
        <f>Inputs!$B$8</f>
        <v>100</v>
      </c>
      <c r="G80" s="62">
        <f t="shared" si="4"/>
        <v>100</v>
      </c>
      <c r="H80" s="62">
        <f t="shared" si="5"/>
        <v>100</v>
      </c>
      <c r="I80" s="62">
        <f>Inputs!$B$9</f>
        <v>1600</v>
      </c>
      <c r="J80" s="63">
        <f>COUNTIFS(Vehicles!$O$2:$O$51,"&lt;="&amp;B80,Vehicles!$P$2:$P$51,"&gt;"&amp;B80,Vehicles!$A$2:$A$51,"&lt;&gt;")</f>
        <v>0</v>
      </c>
    </row>
    <row r="81" spans="1:10">
      <c r="A81" s="58">
        <v>80</v>
      </c>
      <c r="B81" s="59">
        <v>19.75</v>
      </c>
      <c r="C81" s="60">
        <f>MOD(Inputs!$B$12+B81/24,1)</f>
        <v>0.32291666666666652</v>
      </c>
      <c r="D81" s="61">
        <f>SUMIFS(Vehicles!$J$2:$J$51,Vehicles!$O$2:$O$51,"&lt;="&amp;B81,Vehicles!$Q$2:$Q$51,"&gt;"&amp;B81)</f>
        <v>0</v>
      </c>
      <c r="E81" s="62">
        <f>SUMIFS(Vehicles!$M$2:$M$51,Vehicles!$O$2:$O$51,"&lt;="&amp;B81,Vehicles!$P$2:$P$51,"&gt;"&amp;B81)</f>
        <v>0</v>
      </c>
      <c r="F81" s="62">
        <f>Inputs!$B$8</f>
        <v>100</v>
      </c>
      <c r="G81" s="62">
        <f t="shared" si="4"/>
        <v>100</v>
      </c>
      <c r="H81" s="62">
        <f t="shared" si="5"/>
        <v>100</v>
      </c>
      <c r="I81" s="62">
        <f>Inputs!$B$9</f>
        <v>1600</v>
      </c>
      <c r="J81" s="63">
        <f>COUNTIFS(Vehicles!$O$2:$O$51,"&lt;="&amp;B81,Vehicles!$P$2:$P$51,"&gt;"&amp;B81,Vehicles!$A$2:$A$51,"&lt;&gt;")</f>
        <v>0</v>
      </c>
    </row>
    <row r="82" spans="1:10">
      <c r="A82" s="58">
        <v>81</v>
      </c>
      <c r="B82" s="59">
        <v>20</v>
      </c>
      <c r="C82" s="60">
        <f>MOD(Inputs!$B$12+B82/24,1)</f>
        <v>0.33333333333333348</v>
      </c>
      <c r="D82" s="61">
        <f>SUMIFS(Vehicles!$J$2:$J$51,Vehicles!$O$2:$O$51,"&lt;="&amp;B82,Vehicles!$Q$2:$Q$51,"&gt;"&amp;B82)</f>
        <v>0</v>
      </c>
      <c r="E82" s="62">
        <f>SUMIFS(Vehicles!$M$2:$M$51,Vehicles!$O$2:$O$51,"&lt;="&amp;B82,Vehicles!$P$2:$P$51,"&gt;"&amp;B82)</f>
        <v>0</v>
      </c>
      <c r="F82" s="62">
        <f>Inputs!$B$8</f>
        <v>100</v>
      </c>
      <c r="G82" s="62">
        <f t="shared" si="4"/>
        <v>100</v>
      </c>
      <c r="H82" s="62">
        <f t="shared" si="5"/>
        <v>100</v>
      </c>
      <c r="I82" s="62">
        <f>Inputs!$B$9</f>
        <v>1600</v>
      </c>
      <c r="J82" s="63">
        <f>COUNTIFS(Vehicles!$O$2:$O$51,"&lt;="&amp;B82,Vehicles!$P$2:$P$51,"&gt;"&amp;B82,Vehicles!$A$2:$A$51,"&lt;&gt;")</f>
        <v>0</v>
      </c>
    </row>
    <row r="83" spans="1:10">
      <c r="A83" s="58">
        <v>82</v>
      </c>
      <c r="B83" s="59">
        <v>20.25</v>
      </c>
      <c r="C83" s="60">
        <f>MOD(Inputs!$B$12+B83/24,1)</f>
        <v>0.34375</v>
      </c>
      <c r="D83" s="61">
        <f>SUMIFS(Vehicles!$J$2:$J$51,Vehicles!$O$2:$O$51,"&lt;="&amp;B83,Vehicles!$Q$2:$Q$51,"&gt;"&amp;B83)</f>
        <v>0</v>
      </c>
      <c r="E83" s="62">
        <f>SUMIFS(Vehicles!$M$2:$M$51,Vehicles!$O$2:$O$51,"&lt;="&amp;B83,Vehicles!$P$2:$P$51,"&gt;"&amp;B83)</f>
        <v>0</v>
      </c>
      <c r="F83" s="62">
        <f>Inputs!$B$8</f>
        <v>100</v>
      </c>
      <c r="G83" s="62">
        <f t="shared" si="4"/>
        <v>100</v>
      </c>
      <c r="H83" s="62">
        <f t="shared" si="5"/>
        <v>100</v>
      </c>
      <c r="I83" s="62">
        <f>Inputs!$B$9</f>
        <v>1600</v>
      </c>
      <c r="J83" s="63">
        <f>COUNTIFS(Vehicles!$O$2:$O$51,"&lt;="&amp;B83,Vehicles!$P$2:$P$51,"&gt;"&amp;B83,Vehicles!$A$2:$A$51,"&lt;&gt;")</f>
        <v>0</v>
      </c>
    </row>
    <row r="84" spans="1:10">
      <c r="A84" s="58">
        <v>83</v>
      </c>
      <c r="B84" s="59">
        <v>20.5</v>
      </c>
      <c r="C84" s="60">
        <f>MOD(Inputs!$B$12+B84/24,1)</f>
        <v>0.35416666666666652</v>
      </c>
      <c r="D84" s="61">
        <f>SUMIFS(Vehicles!$J$2:$J$51,Vehicles!$O$2:$O$51,"&lt;="&amp;B84,Vehicles!$Q$2:$Q$51,"&gt;"&amp;B84)</f>
        <v>0</v>
      </c>
      <c r="E84" s="62">
        <f>SUMIFS(Vehicles!$M$2:$M$51,Vehicles!$O$2:$O$51,"&lt;="&amp;B84,Vehicles!$P$2:$P$51,"&gt;"&amp;B84)</f>
        <v>0</v>
      </c>
      <c r="F84" s="62">
        <f>Inputs!$B$8</f>
        <v>100</v>
      </c>
      <c r="G84" s="62">
        <f t="shared" si="4"/>
        <v>100</v>
      </c>
      <c r="H84" s="62">
        <f t="shared" si="5"/>
        <v>100</v>
      </c>
      <c r="I84" s="62">
        <f>Inputs!$B$9</f>
        <v>1600</v>
      </c>
      <c r="J84" s="63">
        <f>COUNTIFS(Vehicles!$O$2:$O$51,"&lt;="&amp;B84,Vehicles!$P$2:$P$51,"&gt;"&amp;B84,Vehicles!$A$2:$A$51,"&lt;&gt;")</f>
        <v>0</v>
      </c>
    </row>
    <row r="85" spans="1:10">
      <c r="A85" s="58">
        <v>84</v>
      </c>
      <c r="B85" s="59">
        <v>20.75</v>
      </c>
      <c r="C85" s="60">
        <f>MOD(Inputs!$B$12+B85/24,1)</f>
        <v>0.36458333333333348</v>
      </c>
      <c r="D85" s="61">
        <f>SUMIFS(Vehicles!$J$2:$J$51,Vehicles!$O$2:$O$51,"&lt;="&amp;B85,Vehicles!$Q$2:$Q$51,"&gt;"&amp;B85)</f>
        <v>0</v>
      </c>
      <c r="E85" s="62">
        <f>SUMIFS(Vehicles!$M$2:$M$51,Vehicles!$O$2:$O$51,"&lt;="&amp;B85,Vehicles!$P$2:$P$51,"&gt;"&amp;B85)</f>
        <v>0</v>
      </c>
      <c r="F85" s="62">
        <f>Inputs!$B$8</f>
        <v>100</v>
      </c>
      <c r="G85" s="62">
        <f t="shared" si="4"/>
        <v>100</v>
      </c>
      <c r="H85" s="62">
        <f t="shared" si="5"/>
        <v>100</v>
      </c>
      <c r="I85" s="62">
        <f>Inputs!$B$9</f>
        <v>1600</v>
      </c>
      <c r="J85" s="63">
        <f>COUNTIFS(Vehicles!$O$2:$O$51,"&lt;="&amp;B85,Vehicles!$P$2:$P$51,"&gt;"&amp;B85,Vehicles!$A$2:$A$51,"&lt;&gt;")</f>
        <v>0</v>
      </c>
    </row>
    <row r="86" spans="1:10">
      <c r="A86" s="58">
        <v>85</v>
      </c>
      <c r="B86" s="59">
        <v>21</v>
      </c>
      <c r="C86" s="60">
        <f>MOD(Inputs!$B$12+B86/24,1)</f>
        <v>0.375</v>
      </c>
      <c r="D86" s="61">
        <f>SUMIFS(Vehicles!$J$2:$J$51,Vehicles!$O$2:$O$51,"&lt;="&amp;B86,Vehicles!$Q$2:$Q$51,"&gt;"&amp;B86)</f>
        <v>0</v>
      </c>
      <c r="E86" s="62">
        <f>SUMIFS(Vehicles!$M$2:$M$51,Vehicles!$O$2:$O$51,"&lt;="&amp;B86,Vehicles!$P$2:$P$51,"&gt;"&amp;B86)</f>
        <v>0</v>
      </c>
      <c r="F86" s="62">
        <f>Inputs!$B$8</f>
        <v>100</v>
      </c>
      <c r="G86" s="62">
        <f t="shared" si="4"/>
        <v>100</v>
      </c>
      <c r="H86" s="62">
        <f t="shared" si="5"/>
        <v>100</v>
      </c>
      <c r="I86" s="62">
        <f>Inputs!$B$9</f>
        <v>1600</v>
      </c>
      <c r="J86" s="63">
        <f>COUNTIFS(Vehicles!$O$2:$O$51,"&lt;="&amp;B86,Vehicles!$P$2:$P$51,"&gt;"&amp;B86,Vehicles!$A$2:$A$51,"&lt;&gt;")</f>
        <v>0</v>
      </c>
    </row>
    <row r="87" spans="1:10">
      <c r="A87" s="58">
        <v>86</v>
      </c>
      <c r="B87" s="59">
        <v>21.25</v>
      </c>
      <c r="C87" s="60">
        <f>MOD(Inputs!$B$12+B87/24,1)</f>
        <v>0.38541666666666652</v>
      </c>
      <c r="D87" s="61">
        <f>SUMIFS(Vehicles!$J$2:$J$51,Vehicles!$O$2:$O$51,"&lt;="&amp;B87,Vehicles!$Q$2:$Q$51,"&gt;"&amp;B87)</f>
        <v>0</v>
      </c>
      <c r="E87" s="62">
        <f>SUMIFS(Vehicles!$M$2:$M$51,Vehicles!$O$2:$O$51,"&lt;="&amp;B87,Vehicles!$P$2:$P$51,"&gt;"&amp;B87)</f>
        <v>0</v>
      </c>
      <c r="F87" s="62">
        <f>Inputs!$B$8</f>
        <v>100</v>
      </c>
      <c r="G87" s="62">
        <f t="shared" si="4"/>
        <v>100</v>
      </c>
      <c r="H87" s="62">
        <f t="shared" si="5"/>
        <v>100</v>
      </c>
      <c r="I87" s="62">
        <f>Inputs!$B$9</f>
        <v>1600</v>
      </c>
      <c r="J87" s="63">
        <f>COUNTIFS(Vehicles!$O$2:$O$51,"&lt;="&amp;B87,Vehicles!$P$2:$P$51,"&gt;"&amp;B87,Vehicles!$A$2:$A$51,"&lt;&gt;")</f>
        <v>0</v>
      </c>
    </row>
    <row r="88" spans="1:10">
      <c r="A88" s="58">
        <v>87</v>
      </c>
      <c r="B88" s="59">
        <v>21.5</v>
      </c>
      <c r="C88" s="60">
        <f>MOD(Inputs!$B$12+B88/24,1)</f>
        <v>0.39583333333333348</v>
      </c>
      <c r="D88" s="61">
        <f>SUMIFS(Vehicles!$J$2:$J$51,Vehicles!$O$2:$O$51,"&lt;="&amp;B88,Vehicles!$Q$2:$Q$51,"&gt;"&amp;B88)</f>
        <v>0</v>
      </c>
      <c r="E88" s="62">
        <f>SUMIFS(Vehicles!$M$2:$M$51,Vehicles!$O$2:$O$51,"&lt;="&amp;B88,Vehicles!$P$2:$P$51,"&gt;"&amp;B88)</f>
        <v>0</v>
      </c>
      <c r="F88" s="62">
        <f>Inputs!$B$8</f>
        <v>100</v>
      </c>
      <c r="G88" s="62">
        <f t="shared" si="4"/>
        <v>100</v>
      </c>
      <c r="H88" s="62">
        <f t="shared" si="5"/>
        <v>100</v>
      </c>
      <c r="I88" s="62">
        <f>Inputs!$B$9</f>
        <v>1600</v>
      </c>
      <c r="J88" s="63">
        <f>COUNTIFS(Vehicles!$O$2:$O$51,"&lt;="&amp;B88,Vehicles!$P$2:$P$51,"&gt;"&amp;B88,Vehicles!$A$2:$A$51,"&lt;&gt;")</f>
        <v>0</v>
      </c>
    </row>
    <row r="89" spans="1:10">
      <c r="A89" s="58">
        <v>88</v>
      </c>
      <c r="B89" s="59">
        <v>21.75</v>
      </c>
      <c r="C89" s="60">
        <f>MOD(Inputs!$B$12+B89/24,1)</f>
        <v>0.40625</v>
      </c>
      <c r="D89" s="61">
        <f>SUMIFS(Vehicles!$J$2:$J$51,Vehicles!$O$2:$O$51,"&lt;="&amp;B89,Vehicles!$Q$2:$Q$51,"&gt;"&amp;B89)</f>
        <v>0</v>
      </c>
      <c r="E89" s="62">
        <f>SUMIFS(Vehicles!$M$2:$M$51,Vehicles!$O$2:$O$51,"&lt;="&amp;B89,Vehicles!$P$2:$P$51,"&gt;"&amp;B89)</f>
        <v>0</v>
      </c>
      <c r="F89" s="62">
        <f>Inputs!$B$8</f>
        <v>100</v>
      </c>
      <c r="G89" s="62">
        <f t="shared" si="4"/>
        <v>100</v>
      </c>
      <c r="H89" s="62">
        <f t="shared" si="5"/>
        <v>100</v>
      </c>
      <c r="I89" s="62">
        <f>Inputs!$B$9</f>
        <v>1600</v>
      </c>
      <c r="J89" s="63">
        <f>COUNTIFS(Vehicles!$O$2:$O$51,"&lt;="&amp;B89,Vehicles!$P$2:$P$51,"&gt;"&amp;B89,Vehicles!$A$2:$A$51,"&lt;&gt;")</f>
        <v>0</v>
      </c>
    </row>
    <row r="90" spans="1:10">
      <c r="A90" s="58">
        <v>89</v>
      </c>
      <c r="B90" s="59">
        <v>22</v>
      </c>
      <c r="C90" s="60">
        <f>MOD(Inputs!$B$12+B90/24,1)</f>
        <v>0.41666666666666652</v>
      </c>
      <c r="D90" s="61">
        <f>SUMIFS(Vehicles!$J$2:$J$51,Vehicles!$O$2:$O$51,"&lt;="&amp;B90,Vehicles!$Q$2:$Q$51,"&gt;"&amp;B90)</f>
        <v>0</v>
      </c>
      <c r="E90" s="62">
        <f>SUMIFS(Vehicles!$M$2:$M$51,Vehicles!$O$2:$O$51,"&lt;="&amp;B90,Vehicles!$P$2:$P$51,"&gt;"&amp;B90)</f>
        <v>0</v>
      </c>
      <c r="F90" s="62">
        <f>Inputs!$B$8</f>
        <v>100</v>
      </c>
      <c r="G90" s="62">
        <f t="shared" si="4"/>
        <v>100</v>
      </c>
      <c r="H90" s="62">
        <f t="shared" si="5"/>
        <v>100</v>
      </c>
      <c r="I90" s="62">
        <f>Inputs!$B$9</f>
        <v>1600</v>
      </c>
      <c r="J90" s="63">
        <f>COUNTIFS(Vehicles!$O$2:$O$51,"&lt;="&amp;B90,Vehicles!$P$2:$P$51,"&gt;"&amp;B90,Vehicles!$A$2:$A$51,"&lt;&gt;")</f>
        <v>0</v>
      </c>
    </row>
    <row r="91" spans="1:10">
      <c r="A91" s="58">
        <v>90</v>
      </c>
      <c r="B91" s="59">
        <v>22.25</v>
      </c>
      <c r="C91" s="60">
        <f>MOD(Inputs!$B$12+B91/24,1)</f>
        <v>0.42708333333333348</v>
      </c>
      <c r="D91" s="61">
        <f>SUMIFS(Vehicles!$J$2:$J$51,Vehicles!$O$2:$O$51,"&lt;="&amp;B91,Vehicles!$Q$2:$Q$51,"&gt;"&amp;B91)</f>
        <v>0</v>
      </c>
      <c r="E91" s="62">
        <f>SUMIFS(Vehicles!$M$2:$M$51,Vehicles!$O$2:$O$51,"&lt;="&amp;B91,Vehicles!$P$2:$P$51,"&gt;"&amp;B91)</f>
        <v>0</v>
      </c>
      <c r="F91" s="62">
        <f>Inputs!$B$8</f>
        <v>100</v>
      </c>
      <c r="G91" s="62">
        <f t="shared" si="4"/>
        <v>100</v>
      </c>
      <c r="H91" s="62">
        <f t="shared" si="5"/>
        <v>100</v>
      </c>
      <c r="I91" s="62">
        <f>Inputs!$B$9</f>
        <v>1600</v>
      </c>
      <c r="J91" s="63">
        <f>COUNTIFS(Vehicles!$O$2:$O$51,"&lt;="&amp;B91,Vehicles!$P$2:$P$51,"&gt;"&amp;B91,Vehicles!$A$2:$A$51,"&lt;&gt;")</f>
        <v>0</v>
      </c>
    </row>
    <row r="92" spans="1:10">
      <c r="A92" s="58">
        <v>91</v>
      </c>
      <c r="B92" s="59">
        <v>22.5</v>
      </c>
      <c r="C92" s="60">
        <f>MOD(Inputs!$B$12+B92/24,1)</f>
        <v>0.4375</v>
      </c>
      <c r="D92" s="61">
        <f>SUMIFS(Vehicles!$J$2:$J$51,Vehicles!$O$2:$O$51,"&lt;="&amp;B92,Vehicles!$Q$2:$Q$51,"&gt;"&amp;B92)</f>
        <v>0</v>
      </c>
      <c r="E92" s="62">
        <f>SUMIFS(Vehicles!$M$2:$M$51,Vehicles!$O$2:$O$51,"&lt;="&amp;B92,Vehicles!$P$2:$P$51,"&gt;"&amp;B92)</f>
        <v>0</v>
      </c>
      <c r="F92" s="62">
        <f>Inputs!$B$8</f>
        <v>100</v>
      </c>
      <c r="G92" s="62">
        <f t="shared" si="4"/>
        <v>100</v>
      </c>
      <c r="H92" s="62">
        <f t="shared" si="5"/>
        <v>100</v>
      </c>
      <c r="I92" s="62">
        <f>Inputs!$B$9</f>
        <v>1600</v>
      </c>
      <c r="J92" s="63">
        <f>COUNTIFS(Vehicles!$O$2:$O$51,"&lt;="&amp;B92,Vehicles!$P$2:$P$51,"&gt;"&amp;B92,Vehicles!$A$2:$A$51,"&lt;&gt;")</f>
        <v>0</v>
      </c>
    </row>
    <row r="93" spans="1:10">
      <c r="A93" s="58">
        <v>92</v>
      </c>
      <c r="B93" s="59">
        <v>22.75</v>
      </c>
      <c r="C93" s="60">
        <f>MOD(Inputs!$B$12+B93/24,1)</f>
        <v>0.44791666666666652</v>
      </c>
      <c r="D93" s="61">
        <f>SUMIFS(Vehicles!$J$2:$J$51,Vehicles!$O$2:$O$51,"&lt;="&amp;B93,Vehicles!$Q$2:$Q$51,"&gt;"&amp;B93)</f>
        <v>0</v>
      </c>
      <c r="E93" s="62">
        <f>SUMIFS(Vehicles!$M$2:$M$51,Vehicles!$O$2:$O$51,"&lt;="&amp;B93,Vehicles!$P$2:$P$51,"&gt;"&amp;B93)</f>
        <v>0</v>
      </c>
      <c r="F93" s="62">
        <f>Inputs!$B$8</f>
        <v>100</v>
      </c>
      <c r="G93" s="62">
        <f t="shared" si="4"/>
        <v>100</v>
      </c>
      <c r="H93" s="62">
        <f t="shared" si="5"/>
        <v>100</v>
      </c>
      <c r="I93" s="62">
        <f>Inputs!$B$9</f>
        <v>1600</v>
      </c>
      <c r="J93" s="63">
        <f>COUNTIFS(Vehicles!$O$2:$O$51,"&lt;="&amp;B93,Vehicles!$P$2:$P$51,"&gt;"&amp;B93,Vehicles!$A$2:$A$51,"&lt;&gt;")</f>
        <v>0</v>
      </c>
    </row>
    <row r="94" spans="1:10">
      <c r="A94" s="58">
        <v>93</v>
      </c>
      <c r="B94" s="59">
        <v>23</v>
      </c>
      <c r="C94" s="60">
        <f>MOD(Inputs!$B$12+B94/24,1)</f>
        <v>0.45833333333333348</v>
      </c>
      <c r="D94" s="61">
        <f>SUMIFS(Vehicles!$J$2:$J$51,Vehicles!$O$2:$O$51,"&lt;="&amp;B94,Vehicles!$Q$2:$Q$51,"&gt;"&amp;B94)</f>
        <v>0</v>
      </c>
      <c r="E94" s="62">
        <f>SUMIFS(Vehicles!$M$2:$M$51,Vehicles!$O$2:$O$51,"&lt;="&amp;B94,Vehicles!$P$2:$P$51,"&gt;"&amp;B94)</f>
        <v>0</v>
      </c>
      <c r="F94" s="62">
        <f>Inputs!$B$8</f>
        <v>100</v>
      </c>
      <c r="G94" s="62">
        <f t="shared" si="4"/>
        <v>100</v>
      </c>
      <c r="H94" s="62">
        <f t="shared" si="5"/>
        <v>100</v>
      </c>
      <c r="I94" s="62">
        <f>Inputs!$B$9</f>
        <v>1600</v>
      </c>
      <c r="J94" s="63">
        <f>COUNTIFS(Vehicles!$O$2:$O$51,"&lt;="&amp;B94,Vehicles!$P$2:$P$51,"&gt;"&amp;B94,Vehicles!$A$2:$A$51,"&lt;&gt;")</f>
        <v>0</v>
      </c>
    </row>
    <row r="95" spans="1:10">
      <c r="A95" s="58">
        <v>94</v>
      </c>
      <c r="B95" s="59">
        <v>23.25</v>
      </c>
      <c r="C95" s="60">
        <f>MOD(Inputs!$B$12+B95/24,1)</f>
        <v>0.46875</v>
      </c>
      <c r="D95" s="61">
        <f>SUMIFS(Vehicles!$J$2:$J$51,Vehicles!$O$2:$O$51,"&lt;="&amp;B95,Vehicles!$Q$2:$Q$51,"&gt;"&amp;B95)</f>
        <v>0</v>
      </c>
      <c r="E95" s="62">
        <f>SUMIFS(Vehicles!$M$2:$M$51,Vehicles!$O$2:$O$51,"&lt;="&amp;B95,Vehicles!$P$2:$P$51,"&gt;"&amp;B95)</f>
        <v>0</v>
      </c>
      <c r="F95" s="62">
        <f>Inputs!$B$8</f>
        <v>100</v>
      </c>
      <c r="G95" s="62">
        <f t="shared" si="4"/>
        <v>100</v>
      </c>
      <c r="H95" s="62">
        <f t="shared" si="5"/>
        <v>100</v>
      </c>
      <c r="I95" s="62">
        <f>Inputs!$B$9</f>
        <v>1600</v>
      </c>
      <c r="J95" s="63">
        <f>COUNTIFS(Vehicles!$O$2:$O$51,"&lt;="&amp;B95,Vehicles!$P$2:$P$51,"&gt;"&amp;B95,Vehicles!$A$2:$A$51,"&lt;&gt;")</f>
        <v>0</v>
      </c>
    </row>
    <row r="96" spans="1:10">
      <c r="A96" s="58">
        <v>95</v>
      </c>
      <c r="B96" s="59">
        <v>23.5</v>
      </c>
      <c r="C96" s="60">
        <f>MOD(Inputs!$B$12+B96/24,1)</f>
        <v>0.47916666666666652</v>
      </c>
      <c r="D96" s="61">
        <f>SUMIFS(Vehicles!$J$2:$J$51,Vehicles!$O$2:$O$51,"&lt;="&amp;B96,Vehicles!$Q$2:$Q$51,"&gt;"&amp;B96)</f>
        <v>0</v>
      </c>
      <c r="E96" s="62">
        <f>SUMIFS(Vehicles!$M$2:$M$51,Vehicles!$O$2:$O$51,"&lt;="&amp;B96,Vehicles!$P$2:$P$51,"&gt;"&amp;B96)</f>
        <v>0</v>
      </c>
      <c r="F96" s="62">
        <f>Inputs!$B$8</f>
        <v>100</v>
      </c>
      <c r="G96" s="62">
        <f t="shared" si="4"/>
        <v>100</v>
      </c>
      <c r="H96" s="62">
        <f t="shared" si="5"/>
        <v>100</v>
      </c>
      <c r="I96" s="62">
        <f>Inputs!$B$9</f>
        <v>1600</v>
      </c>
      <c r="J96" s="63">
        <f>COUNTIFS(Vehicles!$O$2:$O$51,"&lt;="&amp;B96,Vehicles!$P$2:$P$51,"&gt;"&amp;B96,Vehicles!$A$2:$A$51,"&lt;&gt;")</f>
        <v>0</v>
      </c>
    </row>
    <row r="97" spans="1:10">
      <c r="A97" s="64">
        <v>96</v>
      </c>
      <c r="B97" s="65">
        <v>23.75</v>
      </c>
      <c r="C97" s="66">
        <f>MOD(Inputs!$B$12+B97/24,1)</f>
        <v>0.48958333333333348</v>
      </c>
      <c r="D97" s="67">
        <f>SUMIFS(Vehicles!$J$2:$J$51,Vehicles!$O$2:$O$51,"&lt;="&amp;B97,Vehicles!$Q$2:$Q$51,"&gt;"&amp;B97)</f>
        <v>0</v>
      </c>
      <c r="E97" s="68">
        <f>SUMIFS(Vehicles!$M$2:$M$51,Vehicles!$O$2:$O$51,"&lt;="&amp;B97,Vehicles!$P$2:$P$51,"&gt;"&amp;B97)</f>
        <v>0</v>
      </c>
      <c r="F97" s="68">
        <f>Inputs!$B$8</f>
        <v>100</v>
      </c>
      <c r="G97" s="68">
        <f t="shared" si="4"/>
        <v>100</v>
      </c>
      <c r="H97" s="68">
        <f t="shared" si="5"/>
        <v>100</v>
      </c>
      <c r="I97" s="68">
        <f>Inputs!$B$9</f>
        <v>1600</v>
      </c>
      <c r="J97" s="69">
        <f>COUNTIFS(Vehicles!$O$2:$O$51,"&lt;="&amp;B97,Vehicles!$P$2:$P$51,"&gt;"&amp;B97,Vehicles!$A$2:$A$51,"&lt;&gt;")</f>
        <v>0</v>
      </c>
    </row>
  </sheetData>
  <conditionalFormatting sqref="H2:H97">
    <cfRule type="expression" dxfId="0" priority="1">
      <formula>H2&gt;I2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workbookViewId="0">
      <selection sqref="A1:D2"/>
    </sheetView>
  </sheetViews>
  <sheetFormatPr defaultRowHeight="14.4"/>
  <cols>
    <col min="1" max="1" width="35.296875" style="15" customWidth="1"/>
    <col min="2" max="2" width="19.796875" style="15" customWidth="1"/>
    <col min="3" max="3" width="69.296875" style="15" customWidth="1"/>
    <col min="4" max="4" width="72.19921875" style="15" customWidth="1"/>
    <col min="5" max="16384" width="8.796875" style="15"/>
  </cols>
  <sheetData>
    <row r="1" spans="1:4">
      <c r="A1" s="170" t="s">
        <v>146</v>
      </c>
      <c r="B1" s="170"/>
      <c r="C1" s="170"/>
      <c r="D1" s="170"/>
    </row>
    <row r="2" spans="1:4">
      <c r="A2" s="170"/>
      <c r="B2" s="170"/>
      <c r="C2" s="170"/>
      <c r="D2" s="170"/>
    </row>
    <row r="4" spans="1:4">
      <c r="A4" s="24" t="s">
        <v>147</v>
      </c>
      <c r="B4" s="24" t="s">
        <v>148</v>
      </c>
      <c r="C4" s="24" t="s">
        <v>149</v>
      </c>
      <c r="D4" s="24" t="s">
        <v>150</v>
      </c>
    </row>
    <row r="5" spans="1:4" ht="28.8">
      <c r="A5" s="70" t="s">
        <v>151</v>
      </c>
      <c r="B5" s="17" t="s">
        <v>152</v>
      </c>
      <c r="C5" s="71" t="s">
        <v>153</v>
      </c>
      <c r="D5" s="72" t="s">
        <v>154</v>
      </c>
    </row>
    <row r="6" spans="1:4" ht="28.8">
      <c r="A6" s="73" t="s">
        <v>155</v>
      </c>
      <c r="B6" s="19" t="s">
        <v>156</v>
      </c>
      <c r="C6" s="74" t="s">
        <v>157</v>
      </c>
      <c r="D6" s="75" t="s">
        <v>158</v>
      </c>
    </row>
    <row r="7" spans="1:4" ht="28.8">
      <c r="A7" s="73" t="s">
        <v>159</v>
      </c>
      <c r="B7" s="19" t="s">
        <v>160</v>
      </c>
      <c r="C7" s="74" t="s">
        <v>161</v>
      </c>
      <c r="D7" s="75" t="s">
        <v>162</v>
      </c>
    </row>
    <row r="8" spans="1:4" ht="28.8">
      <c r="A8" s="73" t="s">
        <v>163</v>
      </c>
      <c r="B8" s="19" t="s">
        <v>164</v>
      </c>
      <c r="C8" s="74" t="s">
        <v>165</v>
      </c>
      <c r="D8" s="75" t="s">
        <v>166</v>
      </c>
    </row>
    <row r="9" spans="1:4" ht="28.8">
      <c r="A9" s="76" t="s">
        <v>167</v>
      </c>
      <c r="B9" s="23" t="s">
        <v>168</v>
      </c>
      <c r="C9" s="77" t="s">
        <v>169</v>
      </c>
      <c r="D9" s="78" t="s">
        <v>170</v>
      </c>
    </row>
    <row r="11" spans="1:4">
      <c r="A11" s="141" t="s">
        <v>171</v>
      </c>
      <c r="B11" s="141"/>
      <c r="C11" s="141"/>
      <c r="D11" s="141"/>
    </row>
    <row r="12" spans="1:4">
      <c r="A12" s="79" t="s">
        <v>172</v>
      </c>
      <c r="B12" s="155" t="s">
        <v>173</v>
      </c>
      <c r="C12" s="155"/>
      <c r="D12" s="155"/>
    </row>
    <row r="13" spans="1:4">
      <c r="A13" s="80" t="s">
        <v>174</v>
      </c>
      <c r="B13" s="156" t="s">
        <v>175</v>
      </c>
      <c r="C13" s="156"/>
      <c r="D13" s="156"/>
    </row>
    <row r="14" spans="1:4">
      <c r="A14" s="80" t="s">
        <v>176</v>
      </c>
      <c r="B14" s="156" t="s">
        <v>177</v>
      </c>
      <c r="C14" s="156"/>
      <c r="D14" s="156"/>
    </row>
    <row r="15" spans="1:4">
      <c r="A15" s="80" t="s">
        <v>178</v>
      </c>
      <c r="B15" s="156" t="s">
        <v>179</v>
      </c>
      <c r="C15" s="156"/>
      <c r="D15" s="156"/>
    </row>
    <row r="16" spans="1:4">
      <c r="A16" s="81" t="s">
        <v>180</v>
      </c>
      <c r="B16" s="157" t="s">
        <v>181</v>
      </c>
      <c r="C16" s="157"/>
      <c r="D16" s="157"/>
    </row>
    <row r="18" spans="1:4">
      <c r="A18" s="141" t="s">
        <v>182</v>
      </c>
      <c r="B18" s="141"/>
      <c r="C18" s="141"/>
      <c r="D18" s="141"/>
    </row>
    <row r="19" spans="1:4">
      <c r="A19" s="171" t="s">
        <v>183</v>
      </c>
      <c r="B19" s="172"/>
      <c r="C19" s="172"/>
      <c r="D19" s="173"/>
    </row>
    <row r="20" spans="1:4">
      <c r="A20" s="174"/>
      <c r="B20" s="175"/>
      <c r="C20" s="175"/>
      <c r="D20" s="176"/>
    </row>
    <row r="21" spans="1:4">
      <c r="A21" s="174"/>
      <c r="B21" s="175"/>
      <c r="C21" s="175"/>
      <c r="D21" s="176"/>
    </row>
    <row r="22" spans="1:4">
      <c r="A22" s="174"/>
      <c r="B22" s="175"/>
      <c r="C22" s="175"/>
      <c r="D22" s="176"/>
    </row>
    <row r="23" spans="1:4">
      <c r="A23" s="177"/>
      <c r="B23" s="178"/>
      <c r="C23" s="178"/>
      <c r="D23" s="179"/>
    </row>
  </sheetData>
  <mergeCells count="9">
    <mergeCell ref="A1:D2"/>
    <mergeCell ref="A11:D11"/>
    <mergeCell ref="A18:D18"/>
    <mergeCell ref="A19:D23"/>
    <mergeCell ref="B12:D12"/>
    <mergeCell ref="B13:D13"/>
    <mergeCell ref="B14:D14"/>
    <mergeCell ref="B15:D15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Start Here</vt:lpstr>
      <vt:lpstr>Inputs</vt:lpstr>
      <vt:lpstr>Vehicles</vt:lpstr>
      <vt:lpstr>Load Profile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Sasa Sovilj</cp:lastModifiedBy>
  <dcterms:modified xsi:type="dcterms:W3CDTF">2026-08-17T11:20:28Z</dcterms:modified>
</cp:coreProperties>
</file>